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showInkAnnotation="0" codeName="ThisWorkbook"/>
  <mc:AlternateContent xmlns:mc="http://schemas.openxmlformats.org/markup-compatibility/2006">
    <mc:Choice Requires="x15">
      <x15ac:absPath xmlns:x15ac="http://schemas.microsoft.com/office/spreadsheetml/2010/11/ac" url="\\193.49.15.59\sfl-gestion\RH\PROCEDURES cnrs\RECRUTEMENT\FICHE DE COUT\"/>
    </mc:Choice>
  </mc:AlternateContent>
  <xr:revisionPtr revIDLastSave="0" documentId="8_{18B9166B-230A-4417-A0A9-C266C8981F16}" xr6:coauthVersionLast="47" xr6:coauthVersionMax="47" xr10:uidLastSave="{00000000-0000-0000-0000-000000000000}"/>
  <workbookProtection workbookPassword="D9DA" lockStructure="1"/>
  <bookViews>
    <workbookView xWindow="-90" yWindow="-90" windowWidth="19380" windowHeight="10260" tabRatio="752" xr2:uid="{00000000-000D-0000-FFFF-FFFF00000000}"/>
  </bookViews>
  <sheets>
    <sheet name="Simuler le coût d'un CDD" sheetId="1" r:id="rId1"/>
    <sheet name="Simulation coût i2d CDD" sheetId="8" state="hidden" r:id="rId2"/>
    <sheet name="Simuler le coût d'une Vacation" sheetId="3" r:id="rId3"/>
    <sheet name="AIDE UTILISATEUR" sheetId="7" r:id="rId4"/>
    <sheet name="Données générales" sheetId="2" r:id="rId5"/>
  </sheets>
  <definedNames>
    <definedName name="Abondement">'Données générales'!$H$27:$H$29</definedName>
    <definedName name="Acompte">'Données générales'!$V$3:$V$4</definedName>
    <definedName name="ASSIETTETAXESAL" localSheetId="1">'Simulation coût i2d CDD'!$K$38</definedName>
    <definedName name="ASSIETTETAXESAL">'Simuler le coût d''un CDD'!$K$42</definedName>
    <definedName name="ASSIETTETAXESAL2">'Simuler le coût d''une Vacation'!$K$31</definedName>
    <definedName name="Augment_previs">'Données générales'!$T$3:$T$4</definedName>
    <definedName name="Basebrute" localSheetId="1">'Simulation coût i2d CDD'!$D$23</definedName>
    <definedName name="Basebrute">'Simuler le coût d''un CDD'!$D$26</definedName>
    <definedName name="CarteTransport">'Données générales'!$V$21:$V$23</definedName>
    <definedName name="cotisations">'Données générales'!$L$5:$R$22</definedName>
    <definedName name="CRDSnd" localSheetId="1">'Simulation coût i2d CDD'!$D$29</definedName>
    <definedName name="CRDSnd">'Simuler le coût d''un CDD'!$D$32</definedName>
    <definedName name="CSGnd" localSheetId="1">'Simulation coût i2d CDD'!$D$30</definedName>
    <definedName name="CSGnd">'Simuler le coût d''un CDD'!$D$33</definedName>
    <definedName name="Date_ref">'Données générales'!$H$44</definedName>
    <definedName name="Departement">'Simuler le coût d''un CDD'!$B$12</definedName>
    <definedName name="Deptab">'Données générales'!$H$23:$I$25</definedName>
    <definedName name="Deptableau">'Données générales'!$H$23:$I$26</definedName>
    <definedName name="Dif_PPRS" localSheetId="1">'Données générales'!#REF!</definedName>
    <definedName name="Dif_PPRS">'Données générales'!#REF!</definedName>
    <definedName name="Domicilefiscal">'Données générales'!$G$25:$G$26</definedName>
    <definedName name="Duree" localSheetId="1">'Simulation coût i2d CDD'!$F$6</definedName>
    <definedName name="Duree">'Simuler le coût d''un CDD'!$F$6</definedName>
    <definedName name="Echelon" localSheetId="1">'Simulation coût i2d CDD'!$D$8</definedName>
    <definedName name="Echelon">'Simuler le coût d''un CDD'!$D$8</definedName>
    <definedName name="Gradech">'Données générales'!$A$4:$A$41</definedName>
    <definedName name="graderef">'Simuler le coût d''un CDD'!$B$8</definedName>
    <definedName name="Heures">'Simuler le coût d''une Vacation'!$B$12</definedName>
    <definedName name="I2D">'Simuler le coût d''un CDD'!$D$27</definedName>
    <definedName name="Indem_F_S">'Données générales'!$I$16</definedName>
    <definedName name="Indemnité__F_S_proratisée">'Données générales'!$H$16</definedName>
    <definedName name="Indemnité_de_départ">'Données générales'!$H$15</definedName>
    <definedName name="Indemresidence">'Données générales'!$H$47:$H$49</definedName>
    <definedName name="Indice" localSheetId="1">'Simulation coût i2d CDD'!$F$8</definedName>
    <definedName name="Indice">'Simuler le coût d''un CDD'!$F$8</definedName>
    <definedName name="Liste_enfants">'Données générales'!$G$34:$G$38</definedName>
    <definedName name="Mensuel_hors_PPE" localSheetId="1">'Simulation coût i2d CDD'!$B$52</definedName>
    <definedName name="Mensuel_hors_PPE">'Simuler le coût d''un CDD'!$B$57</definedName>
    <definedName name="Montant_abond" localSheetId="1">'Simulation coût i2d CDD'!$F$19</definedName>
    <definedName name="Montant_abond">'Simuler le coût d''un CDD'!$F$21</definedName>
    <definedName name="NIVEAU">'Données générales'!$A$4:$E$41</definedName>
    <definedName name="niveau_recrutement">'Simuler le coût d''une Vacation'!$B$8</definedName>
    <definedName name="Niveau_vacation">'Données générales'!$A$44:$A$48</definedName>
    <definedName name="Num_dept" localSheetId="1">'Simulation coût i2d CDD'!$B$12</definedName>
    <definedName name="Num_dept">'Simuler le coût d''un CDD'!$B$12</definedName>
    <definedName name="Plafondsolidarite">'Données générales'!$I$6</definedName>
    <definedName name="PlafondSS">'Données générales'!$I$5</definedName>
    <definedName name="PlancherIR">'Données générales'!$H$7</definedName>
    <definedName name="PPE" localSheetId="1">'Simulation coût i2d CDD'!$B$54</definedName>
    <definedName name="PPE">'Simuler le coût d''un CDD'!#REF!</definedName>
    <definedName name="Prevision_augment" localSheetId="1">'Données générales'!#REF!</definedName>
    <definedName name="Prevision_augment">'Données générales'!#REF!</definedName>
    <definedName name="Quotite">'Simuler le coût d''un CDD'!$B$14</definedName>
    <definedName name="Res.administrative">'Données générales'!$H$24:$H$25</definedName>
    <definedName name="SFT">'Données générales'!$G$32:$H$38</definedName>
    <definedName name="SMIC">'Données générales'!$I$8</definedName>
    <definedName name="TablTransport">'Données générales'!$V$15:$V$16</definedName>
    <definedName name="test3">'Données générales'!$A$4:$E$41</definedName>
    <definedName name="TotalPP" localSheetId="1">'Simulation coût i2d CDD'!$F$44</definedName>
    <definedName name="TotalPP">'Simuler le coût d''un CDD'!$F$49</definedName>
    <definedName name="TotalPS" localSheetId="1">'Simulation coût i2d CDD'!$D$44</definedName>
    <definedName name="TotalPS">'Simuler le coût d''un CDD'!$D$49</definedName>
    <definedName name="TSassujettissement">'Données générales'!$M$29</definedName>
    <definedName name="TSmensuel1">'Données générales'!$N$26</definedName>
    <definedName name="TSmensuel2">'Données générales'!$N$27</definedName>
    <definedName name="TSmensuel3" localSheetId="1">'Données générales'!#REF!</definedName>
    <definedName name="TSmensuel3">'Données générales'!#REF!</definedName>
    <definedName name="TStaux1">'Données générales'!$M$26</definedName>
    <definedName name="TStaux2">'Données générales'!$M$27</definedName>
    <definedName name="TStaux3">'Données générales'!$M$28</definedName>
    <definedName name="TStaux4">'Données générales'!$M$28</definedName>
    <definedName name="Vacations">'Données générales'!$A$44:$E$48</definedName>
    <definedName name="Valeurindice">'Données générales'!$I$4</definedName>
    <definedName name="_xlnm.Print_Area" localSheetId="3">'AIDE UTILISATEUR'!$A$1:$O$50</definedName>
    <definedName name="_xlnm.Print_Area" localSheetId="1">'Simulation coût i2d CDD'!$A$1:$G$70</definedName>
    <definedName name="_xlnm.Print_Area" localSheetId="0">'Simuler le coût d''un CDD'!$A$1:$G$74</definedName>
    <definedName name="_xlnm.Print_Area" localSheetId="2">'Simuler le coût d''une Vacation'!$A$1:$F$52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35" i="3" l="1"/>
  <c r="A34" i="3"/>
  <c r="A43" i="1"/>
  <c r="E46" i="1" l="1"/>
  <c r="E36" i="3" l="1"/>
  <c r="A42" i="1" l="1"/>
  <c r="D25" i="1" l="1"/>
  <c r="E4" i="2" l="1"/>
  <c r="B55" i="1"/>
  <c r="I14" i="2"/>
  <c r="H67" i="8"/>
  <c r="H68" i="8"/>
  <c r="H6" i="1"/>
  <c r="H73" i="1" s="1"/>
  <c r="A72" i="1"/>
  <c r="A71" i="1"/>
  <c r="A2" i="3"/>
  <c r="B2" i="1"/>
  <c r="G8" i="2"/>
  <c r="B47" i="3"/>
  <c r="J14" i="2"/>
  <c r="F6" i="1"/>
  <c r="B6" i="7"/>
  <c r="F6" i="3"/>
  <c r="A36" i="3"/>
  <c r="C62" i="1"/>
  <c r="B62" i="1"/>
  <c r="B61" i="1"/>
  <c r="D16" i="1"/>
  <c r="J16" i="1" s="1"/>
  <c r="E38" i="8"/>
  <c r="E36" i="8"/>
  <c r="C56" i="8"/>
  <c r="D6" i="8"/>
  <c r="K59" i="8" s="1"/>
  <c r="D21" i="8"/>
  <c r="B12" i="8"/>
  <c r="C30" i="8" s="1"/>
  <c r="H61" i="8"/>
  <c r="A54" i="8"/>
  <c r="F50" i="8"/>
  <c r="F49" i="8"/>
  <c r="F48" i="8"/>
  <c r="D48" i="8"/>
  <c r="D42" i="8"/>
  <c r="C42" i="8"/>
  <c r="B42" i="8"/>
  <c r="A42" i="8"/>
  <c r="A40" i="8"/>
  <c r="A38" i="8"/>
  <c r="A37" i="8"/>
  <c r="A36" i="8"/>
  <c r="A35" i="8"/>
  <c r="A34" i="8"/>
  <c r="A33" i="8"/>
  <c r="A32" i="8"/>
  <c r="A31" i="8"/>
  <c r="A30" i="8"/>
  <c r="A29" i="8"/>
  <c r="A28" i="8"/>
  <c r="E19" i="8"/>
  <c r="E37" i="3"/>
  <c r="L28" i="2"/>
  <c r="A70" i="1"/>
  <c r="A69" i="1"/>
  <c r="B69" i="1" s="1"/>
  <c r="A67" i="1"/>
  <c r="A68" i="1"/>
  <c r="E10" i="2"/>
  <c r="E11" i="2"/>
  <c r="I6" i="2"/>
  <c r="A15" i="2"/>
  <c r="A14" i="2"/>
  <c r="A13" i="2"/>
  <c r="A12" i="2"/>
  <c r="A11" i="2"/>
  <c r="A1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E7" i="2"/>
  <c r="E21" i="1"/>
  <c r="C12" i="1"/>
  <c r="C12" i="8" s="1"/>
  <c r="F8" i="3"/>
  <c r="E30" i="2"/>
  <c r="E31" i="2"/>
  <c r="E32" i="2"/>
  <c r="E33" i="2"/>
  <c r="E34" i="2"/>
  <c r="E37" i="2"/>
  <c r="E38" i="2"/>
  <c r="E39" i="2"/>
  <c r="E12" i="2"/>
  <c r="E13" i="2"/>
  <c r="E14" i="2"/>
  <c r="E15" i="2"/>
  <c r="E22" i="2"/>
  <c r="E23" i="2"/>
  <c r="E24" i="2"/>
  <c r="E25" i="2"/>
  <c r="E26" i="2"/>
  <c r="E27" i="2"/>
  <c r="E28" i="2"/>
  <c r="E29" i="2"/>
  <c r="E5" i="2"/>
  <c r="E6" i="2"/>
  <c r="E8" i="2"/>
  <c r="A4" i="2"/>
  <c r="A5" i="2"/>
  <c r="A6" i="2"/>
  <c r="A7" i="2"/>
  <c r="A8" i="2"/>
  <c r="A9" i="2"/>
  <c r="I7" i="2"/>
  <c r="L27" i="2"/>
  <c r="L26" i="2"/>
  <c r="J63" i="1"/>
  <c r="J64" i="1" s="1"/>
  <c r="J44" i="1"/>
  <c r="K44" i="1"/>
  <c r="L44" i="1"/>
  <c r="E29" i="3"/>
  <c r="C31" i="1"/>
  <c r="C32" i="1"/>
  <c r="C33" i="1"/>
  <c r="C35" i="1"/>
  <c r="C37" i="1"/>
  <c r="C38" i="1"/>
  <c r="C44" i="1"/>
  <c r="C42" i="1"/>
  <c r="J51" i="1"/>
  <c r="E32" i="3"/>
  <c r="C10" i="3"/>
  <c r="C39" i="3"/>
  <c r="C37" i="3"/>
  <c r="C27" i="3"/>
  <c r="C29" i="3"/>
  <c r="C30" i="3"/>
  <c r="E30" i="3"/>
  <c r="E28" i="3"/>
  <c r="E27" i="3"/>
  <c r="E26" i="3"/>
  <c r="C25" i="3"/>
  <c r="C23" i="3"/>
  <c r="C47" i="1"/>
  <c r="E44" i="1"/>
  <c r="E40" i="1"/>
  <c r="E38" i="1"/>
  <c r="E37" i="1"/>
  <c r="E36" i="1"/>
  <c r="E35" i="1"/>
  <c r="E34" i="1"/>
  <c r="B47" i="1"/>
  <c r="A47" i="1"/>
  <c r="C24" i="3"/>
  <c r="A66" i="1"/>
  <c r="I66" i="1" s="1"/>
  <c r="F54" i="1"/>
  <c r="F55" i="1"/>
  <c r="F53" i="1"/>
  <c r="A39" i="3"/>
  <c r="A32" i="3"/>
  <c r="A31" i="3"/>
  <c r="A30" i="3"/>
  <c r="A29" i="3"/>
  <c r="A28" i="3"/>
  <c r="A27" i="3"/>
  <c r="A26" i="3"/>
  <c r="A37" i="3"/>
  <c r="C12" i="3"/>
  <c r="A33" i="3"/>
  <c r="A25" i="3"/>
  <c r="A24" i="3"/>
  <c r="A23" i="3"/>
  <c r="A36" i="1"/>
  <c r="A44" i="1"/>
  <c r="A41" i="1"/>
  <c r="A40" i="1"/>
  <c r="A39" i="1"/>
  <c r="A38" i="1"/>
  <c r="A37" i="1"/>
  <c r="A35" i="1"/>
  <c r="A34" i="1"/>
  <c r="A31" i="1"/>
  <c r="A32" i="1"/>
  <c r="A33" i="1"/>
  <c r="D53" i="1"/>
  <c r="L40" i="8"/>
  <c r="B50" i="8"/>
  <c r="D62" i="1"/>
  <c r="D61" i="1"/>
  <c r="D47" i="1"/>
  <c r="B39" i="3"/>
  <c r="C28" i="8"/>
  <c r="J40" i="8"/>
  <c r="K33" i="3"/>
  <c r="E32" i="8"/>
  <c r="L33" i="3"/>
  <c r="C35" i="8"/>
  <c r="E33" i="8"/>
  <c r="J33" i="3"/>
  <c r="C34" i="8"/>
  <c r="E40" i="8"/>
  <c r="K40" i="8"/>
  <c r="C40" i="8"/>
  <c r="D18" i="3" l="1"/>
  <c r="D19" i="3" s="1"/>
  <c r="E35" i="8"/>
  <c r="E37" i="8"/>
  <c r="C29" i="8"/>
  <c r="E31" i="8"/>
  <c r="C39" i="8"/>
  <c r="C32" i="8"/>
  <c r="E34" i="8"/>
  <c r="H8" i="1"/>
  <c r="H8" i="8"/>
  <c r="F8" i="1"/>
  <c r="C10" i="1" s="1"/>
  <c r="B6" i="8"/>
  <c r="A65" i="8" s="1"/>
  <c r="J66" i="1"/>
  <c r="I67" i="1" s="1"/>
  <c r="K60" i="8"/>
  <c r="B71" i="1"/>
  <c r="B70" i="1"/>
  <c r="B34" i="3" l="1"/>
  <c r="F34" i="3" s="1"/>
  <c r="B35" i="3"/>
  <c r="F35" i="3" s="1"/>
  <c r="K31" i="3"/>
  <c r="F38" i="3"/>
  <c r="B26" i="3"/>
  <c r="F26" i="3" s="1"/>
  <c r="B28" i="3"/>
  <c r="F28" i="3" s="1"/>
  <c r="D39" i="3"/>
  <c r="B27" i="3"/>
  <c r="D27" i="3" s="1"/>
  <c r="B24" i="3"/>
  <c r="D24" i="3" s="1"/>
  <c r="D38" i="3"/>
  <c r="B25" i="3"/>
  <c r="D25" i="3" s="1"/>
  <c r="B33" i="3"/>
  <c r="F33" i="3" s="1"/>
  <c r="A38" i="3"/>
  <c r="C38" i="3" s="1"/>
  <c r="B31" i="3"/>
  <c r="B40" i="3"/>
  <c r="B23" i="3"/>
  <c r="D23" i="3" s="1"/>
  <c r="B29" i="3"/>
  <c r="F29" i="3" s="1"/>
  <c r="B38" i="3"/>
  <c r="IV19" i="3"/>
  <c r="B36" i="3"/>
  <c r="F36" i="3" s="1"/>
  <c r="B30" i="3"/>
  <c r="D30" i="3" s="1"/>
  <c r="F31" i="3"/>
  <c r="B32" i="3"/>
  <c r="F32" i="3" s="1"/>
  <c r="B37" i="3"/>
  <c r="F37" i="3" s="1"/>
  <c r="D20" i="1"/>
  <c r="E38" i="3"/>
  <c r="A67" i="8"/>
  <c r="C67" i="8" s="1"/>
  <c r="A66" i="8"/>
  <c r="C66" i="8" s="1"/>
  <c r="J67" i="1"/>
  <c r="I68" i="1" s="1"/>
  <c r="B65" i="8"/>
  <c r="K65" i="8"/>
  <c r="C65" i="8"/>
  <c r="J65" i="8"/>
  <c r="B66" i="1"/>
  <c r="J47" i="8"/>
  <c r="F6" i="8"/>
  <c r="A62" i="8"/>
  <c r="A63" i="8"/>
  <c r="A64" i="8"/>
  <c r="A68" i="8"/>
  <c r="D37" i="3" l="1"/>
  <c r="F30" i="3"/>
  <c r="K35" i="3"/>
  <c r="J34" i="3"/>
  <c r="J37" i="3" s="1"/>
  <c r="K34" i="3"/>
  <c r="L35" i="3"/>
  <c r="L34" i="3"/>
  <c r="D29" i="3"/>
  <c r="D41" i="3" s="1"/>
  <c r="F27" i="3"/>
  <c r="B21" i="1"/>
  <c r="D21" i="1" s="1"/>
  <c r="C22" i="1" s="1"/>
  <c r="E22" i="1" s="1"/>
  <c r="D26" i="1" s="1"/>
  <c r="J67" i="8"/>
  <c r="B67" i="8"/>
  <c r="J66" i="8"/>
  <c r="K66" i="8"/>
  <c r="B66" i="8"/>
  <c r="K67" i="8"/>
  <c r="K63" i="8"/>
  <c r="J63" i="8"/>
  <c r="B63" i="8"/>
  <c r="C63" i="8"/>
  <c r="J68" i="1"/>
  <c r="J62" i="8"/>
  <c r="K62" i="8" s="1"/>
  <c r="J68" i="8"/>
  <c r="B68" i="8"/>
  <c r="C68" i="8"/>
  <c r="K68" i="8"/>
  <c r="B64" i="8"/>
  <c r="J64" i="8"/>
  <c r="C64" i="8"/>
  <c r="K64" i="8"/>
  <c r="B67" i="1"/>
  <c r="K37" i="3" l="1"/>
  <c r="B45" i="3"/>
  <c r="B43" i="3"/>
  <c r="B43" i="1"/>
  <c r="F43" i="1" s="1"/>
  <c r="D27" i="1"/>
  <c r="B27" i="1" s="1"/>
  <c r="B39" i="1"/>
  <c r="F39" i="1" s="1"/>
  <c r="C45" i="1"/>
  <c r="B48" i="1"/>
  <c r="B44" i="1"/>
  <c r="F44" i="1" s="1"/>
  <c r="B45" i="1"/>
  <c r="A45" i="1"/>
  <c r="K42" i="1"/>
  <c r="E45" i="1"/>
  <c r="B36" i="1"/>
  <c r="F36" i="1" s="1"/>
  <c r="B41" i="1"/>
  <c r="F41" i="1" s="1"/>
  <c r="B42" i="1"/>
  <c r="F42" i="1" s="1"/>
  <c r="B35" i="1"/>
  <c r="F35" i="1" s="1"/>
  <c r="B40" i="1"/>
  <c r="F40" i="1" s="1"/>
  <c r="B31" i="1"/>
  <c r="D31" i="1" s="1"/>
  <c r="B38" i="1"/>
  <c r="D38" i="1" s="1"/>
  <c r="B34" i="1"/>
  <c r="F34" i="1" s="1"/>
  <c r="B46" i="1"/>
  <c r="F46" i="1" s="1"/>
  <c r="B37" i="1"/>
  <c r="D37" i="1" s="1"/>
  <c r="B33" i="1"/>
  <c r="D33" i="1" s="1"/>
  <c r="B32" i="1"/>
  <c r="D32" i="1" s="1"/>
  <c r="B68" i="1"/>
  <c r="I69" i="1"/>
  <c r="J69" i="1" s="1"/>
  <c r="I70" i="1" s="1"/>
  <c r="J70" i="1" s="1"/>
  <c r="I71" i="1" s="1"/>
  <c r="J71" i="1" s="1"/>
  <c r="I72" i="1" s="1"/>
  <c r="B62" i="8"/>
  <c r="L46" i="1" l="1"/>
  <c r="L36" i="3"/>
  <c r="L37" i="3" s="1"/>
  <c r="F40" i="3" s="1"/>
  <c r="F41" i="3" s="1"/>
  <c r="B49" i="3" s="1"/>
  <c r="F45" i="1"/>
  <c r="D45" i="1"/>
  <c r="F37" i="1"/>
  <c r="D44" i="1"/>
  <c r="D35" i="1"/>
  <c r="L47" i="1"/>
  <c r="C59" i="1"/>
  <c r="C27" i="1"/>
  <c r="F8" i="8"/>
  <c r="J45" i="1"/>
  <c r="J48" i="1" s="1"/>
  <c r="K46" i="1"/>
  <c r="F38" i="1"/>
  <c r="K45" i="1"/>
  <c r="L45" i="1"/>
  <c r="J72" i="1"/>
  <c r="B72" i="1" s="1"/>
  <c r="B51" i="3" l="1"/>
  <c r="L48" i="1"/>
  <c r="D42" i="1"/>
  <c r="D49" i="1" s="1"/>
  <c r="B51" i="1" s="1"/>
  <c r="K48" i="1"/>
  <c r="D18" i="8"/>
  <c r="C10" i="8"/>
  <c r="F48" i="1" l="1"/>
  <c r="B53" i="1"/>
  <c r="B19" i="8"/>
  <c r="D19" i="8" s="1"/>
  <c r="C20" i="8" s="1"/>
  <c r="E20" i="8" s="1"/>
  <c r="F49" i="1" l="1"/>
  <c r="B57" i="1" s="1"/>
  <c r="C69" i="1"/>
  <c r="C70" i="1"/>
  <c r="C71" i="1"/>
  <c r="C72" i="1"/>
  <c r="C68" i="1"/>
  <c r="D23" i="8"/>
  <c r="H66" i="1" l="1"/>
  <c r="H67" i="1" s="1"/>
  <c r="H68" i="1" s="1"/>
  <c r="H69" i="1" s="1"/>
  <c r="H70" i="1" s="1"/>
  <c r="H71" i="1" s="1"/>
  <c r="H72" i="1" s="1"/>
  <c r="E72" i="1" s="1"/>
  <c r="E69" i="1"/>
  <c r="D70" i="1"/>
  <c r="D71" i="1"/>
  <c r="E70" i="1"/>
  <c r="E71" i="1"/>
  <c r="D72" i="1"/>
  <c r="D69" i="1"/>
  <c r="B36" i="8"/>
  <c r="F36" i="8" s="1"/>
  <c r="K38" i="8"/>
  <c r="H63" i="8"/>
  <c r="B32" i="8"/>
  <c r="D32" i="8" s="1"/>
  <c r="B34" i="8"/>
  <c r="D34" i="8" s="1"/>
  <c r="B43" i="8"/>
  <c r="H64" i="8"/>
  <c r="B35" i="8"/>
  <c r="D35" i="8" s="1"/>
  <c r="C41" i="8"/>
  <c r="H66" i="8"/>
  <c r="B41" i="8"/>
  <c r="B33" i="8"/>
  <c r="F33" i="8" s="1"/>
  <c r="B31" i="8"/>
  <c r="F31" i="8" s="1"/>
  <c r="E41" i="8"/>
  <c r="H62" i="8"/>
  <c r="B40" i="8"/>
  <c r="F40" i="8" s="1"/>
  <c r="B28" i="8"/>
  <c r="D28" i="8" s="1"/>
  <c r="D41" i="8"/>
  <c r="A41" i="8"/>
  <c r="H65" i="8"/>
  <c r="F41" i="8"/>
  <c r="B38" i="8"/>
  <c r="F38" i="8" s="1"/>
  <c r="B30" i="8"/>
  <c r="D30" i="8" s="1"/>
  <c r="B29" i="8"/>
  <c r="D29" i="8" s="1"/>
  <c r="B37" i="8"/>
  <c r="F37" i="8" s="1"/>
  <c r="B54" i="8"/>
  <c r="E66" i="1" l="1"/>
  <c r="C66" i="1"/>
  <c r="D66" i="1" s="1"/>
  <c r="C67" i="1"/>
  <c r="D67" i="1" s="1"/>
  <c r="E67" i="1"/>
  <c r="F34" i="8"/>
  <c r="F32" i="8"/>
  <c r="F35" i="8"/>
  <c r="D40" i="8"/>
  <c r="L42" i="8"/>
  <c r="K42" i="8"/>
  <c r="L43" i="8"/>
  <c r="J41" i="8"/>
  <c r="J44" i="8" s="1"/>
  <c r="K41" i="8"/>
  <c r="L41" i="8"/>
  <c r="K44" i="8" l="1"/>
  <c r="L44" i="8"/>
  <c r="A39" i="8"/>
  <c r="B39" i="8"/>
  <c r="D39" i="8" s="1"/>
  <c r="D44" i="8" s="1"/>
  <c r="F43" i="8" l="1"/>
  <c r="F44" i="8" s="1"/>
  <c r="B56" i="8" s="1"/>
  <c r="B46" i="8"/>
  <c r="B48" i="8"/>
  <c r="B52" i="8" l="1"/>
  <c r="I62" i="8" s="1"/>
  <c r="I63" i="8" s="1"/>
  <c r="I64" i="8" s="1"/>
  <c r="I65" i="8" s="1"/>
  <c r="I66" i="8" s="1"/>
  <c r="I67" i="8" s="1"/>
  <c r="I68" i="8" s="1"/>
  <c r="E65" i="8"/>
  <c r="E67" i="8"/>
  <c r="D67" i="8"/>
  <c r="D63" i="8"/>
  <c r="E68" i="8"/>
  <c r="D64" i="8"/>
  <c r="D66" i="8"/>
  <c r="E63" i="8"/>
  <c r="D65" i="8"/>
  <c r="E66" i="8"/>
  <c r="D68" i="8"/>
  <c r="E64" i="8"/>
  <c r="E62" i="8" l="1"/>
  <c r="E68" i="1" s="1"/>
  <c r="C62" i="8"/>
  <c r="D62" i="8" s="1"/>
  <c r="D69" i="8" s="1"/>
  <c r="D73" i="1" l="1"/>
  <c r="D68" i="1"/>
  <c r="B58" i="8"/>
  <c r="D74" i="1" l="1"/>
  <c r="B59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fanny.bertho</author>
    <author>CNRS</author>
    <author>DEVIENNE Eric</author>
    <author>SSI</author>
    <author>VARELA David</author>
  </authors>
  <commentList>
    <comment ref="B4" authorId="0" shapeId="0" xr:uid="{00000000-0006-0000-0000-000001000000}">
      <text>
        <r>
          <rPr>
            <b/>
            <sz val="8"/>
            <color indexed="18"/>
            <rFont val="Tahoma"/>
            <family val="2"/>
          </rPr>
          <t>saisir le nom de l'agent</t>
        </r>
      </text>
    </comment>
    <comment ref="B6" authorId="0" shapeId="0" xr:uid="{00000000-0006-0000-0000-000002000000}">
      <text>
        <r>
          <rPr>
            <b/>
            <sz val="8"/>
            <color indexed="18"/>
            <rFont val="Tahoma"/>
            <family val="2"/>
          </rPr>
          <t>saisir la date du début du contrat</t>
        </r>
      </text>
    </comment>
    <comment ref="D6" authorId="1" shapeId="0" xr:uid="{00000000-0006-0000-0000-000003000000}">
      <text>
        <r>
          <rPr>
            <b/>
            <sz val="8"/>
            <color indexed="18"/>
            <rFont val="Tahoma"/>
            <family val="2"/>
          </rPr>
          <t xml:space="preserve">saisir la date du fin du contrat
</t>
        </r>
      </text>
    </comment>
    <comment ref="B8" authorId="0" shapeId="0" xr:uid="{00000000-0006-0000-0000-000004000000}">
      <text>
        <r>
          <rPr>
            <b/>
            <sz val="8"/>
            <color indexed="18"/>
            <rFont val="Tahoma"/>
            <family val="2"/>
          </rPr>
          <t xml:space="preserve">1. cliquer dans la cellule
2. choisir dans la liste déroulante : </t>
        </r>
        <r>
          <rPr>
            <sz val="8"/>
            <color indexed="18"/>
            <rFont val="Tahoma"/>
            <family val="2"/>
          </rPr>
          <t>Grade de référence</t>
        </r>
      </text>
    </comment>
    <comment ref="B12" authorId="0" shapeId="0" xr:uid="{00000000-0006-0000-0000-000005000000}">
      <text>
        <r>
          <rPr>
            <b/>
            <sz val="8"/>
            <color indexed="18"/>
            <rFont val="Tahoma"/>
            <family val="2"/>
          </rPr>
          <t xml:space="preserve">1. cliquer dans la cellule 
2. choisir dans la liste déroulante le département
</t>
        </r>
        <r>
          <rPr>
            <sz val="8"/>
            <color indexed="10"/>
            <rFont val="Tahoma"/>
            <family val="2"/>
          </rPr>
          <t>(</t>
        </r>
        <r>
          <rPr>
            <b/>
            <sz val="8"/>
            <color indexed="10"/>
            <rFont val="Tahoma"/>
            <family val="2"/>
          </rPr>
          <t>1</t>
        </r>
        <r>
          <rPr>
            <sz val="8"/>
            <color indexed="10"/>
            <rFont val="Tahoma"/>
            <family val="2"/>
          </rPr>
          <t xml:space="preserve"> = </t>
        </r>
        <r>
          <rPr>
            <sz val="8"/>
            <color indexed="12"/>
            <rFont val="Tahoma"/>
            <family val="2"/>
          </rPr>
          <t>Hors Alsace et Moselle</t>
        </r>
        <r>
          <rPr>
            <sz val="8"/>
            <color indexed="10"/>
            <rFont val="Tahoma"/>
            <family val="2"/>
          </rPr>
          <t xml:space="preserve"> , </t>
        </r>
        <r>
          <rPr>
            <b/>
            <sz val="8"/>
            <color indexed="10"/>
            <rFont val="Tahoma"/>
            <family val="2"/>
          </rPr>
          <t>2</t>
        </r>
        <r>
          <rPr>
            <sz val="8"/>
            <color indexed="10"/>
            <rFont val="Tahoma"/>
            <family val="2"/>
          </rPr>
          <t xml:space="preserve"> =</t>
        </r>
        <r>
          <rPr>
            <sz val="8"/>
            <color indexed="12"/>
            <rFont val="Tahoma"/>
            <family val="2"/>
          </rPr>
          <t xml:space="preserve"> Alsace et Moselle</t>
        </r>
        <r>
          <rPr>
            <sz val="8"/>
            <color indexed="10"/>
            <rFont val="Tahoma"/>
            <family val="2"/>
          </rPr>
          <t>)</t>
        </r>
      </text>
    </comment>
    <comment ref="F12" authorId="0" shapeId="0" xr:uid="{00000000-0006-0000-0000-000006000000}">
      <text>
        <r>
          <rPr>
            <b/>
            <sz val="8"/>
            <color indexed="18"/>
            <rFont val="Tahoma"/>
            <family val="2"/>
          </rPr>
          <t>1. cliquer dans la cellule
2. choisir dans la liste déroulante</t>
        </r>
      </text>
    </comment>
    <comment ref="B14" authorId="0" shapeId="0" xr:uid="{00000000-0006-0000-0000-000007000000}">
      <text>
        <r>
          <rPr>
            <b/>
            <sz val="8"/>
            <color indexed="18"/>
            <rFont val="Tahoma"/>
            <family val="2"/>
          </rPr>
          <t>à saisir</t>
        </r>
      </text>
    </comment>
    <comment ref="C21" authorId="1" shapeId="0" xr:uid="{00000000-0006-0000-0000-000008000000}">
      <text>
        <r>
          <rPr>
            <b/>
            <sz val="8"/>
            <color indexed="18"/>
            <rFont val="Tahoma"/>
            <family val="2"/>
          </rPr>
          <t xml:space="preserve">1. cliquer dans la cellule 
2. choisir dans la liste déroulante le taux spécifique
</t>
        </r>
        <r>
          <rPr>
            <sz val="8"/>
            <color indexed="18"/>
            <rFont val="Tahoma"/>
            <family val="2"/>
          </rPr>
          <t>(en fonction du lieu d'affectation)</t>
        </r>
      </text>
    </comment>
    <comment ref="D22" authorId="0" shapeId="0" xr:uid="{00000000-0006-0000-0000-000009000000}">
      <text>
        <r>
          <rPr>
            <b/>
            <sz val="8"/>
            <color indexed="18"/>
            <rFont val="Tahoma"/>
            <family val="2"/>
          </rPr>
          <t>à saisir si majoration salariale motivée</t>
        </r>
      </text>
    </comment>
    <comment ref="B23" authorId="0" shapeId="0" xr:uid="{00000000-0006-0000-0000-00000A000000}">
      <text>
        <r>
          <rPr>
            <b/>
            <sz val="8"/>
            <color indexed="18"/>
            <rFont val="Tahoma"/>
            <family val="2"/>
          </rPr>
          <t>Saisir le nombre d'enfants</t>
        </r>
      </text>
    </comment>
    <comment ref="D24" authorId="0" shapeId="0" xr:uid="{00000000-0006-0000-0000-00000B000000}">
      <text>
        <r>
          <rPr>
            <b/>
            <sz val="8"/>
            <color indexed="18"/>
            <rFont val="Tahoma"/>
            <family val="2"/>
          </rPr>
          <t xml:space="preserve">à saisir si d'autres indemnités
</t>
        </r>
        <r>
          <rPr>
            <sz val="8"/>
            <color indexed="18"/>
            <rFont val="Tahoma"/>
            <family val="2"/>
          </rPr>
          <t>(Mobilité, formation, voyage, etc)</t>
        </r>
      </text>
    </comment>
    <comment ref="E25" authorId="2" shapeId="0" xr:uid="{24F8D65D-34DD-44BA-88A6-86D14F07FBAF}">
      <text>
        <r>
          <rPr>
            <b/>
            <sz val="9"/>
            <color indexed="81"/>
            <rFont val="Tahoma"/>
            <family val="2"/>
          </rPr>
          <t>Sélectionner Oui si l'agent peu y avoir droit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27" authorId="2" shapeId="0" xr:uid="{00000000-0006-0000-0000-00000C000000}">
      <text>
        <r>
          <rPr>
            <b/>
            <sz val="9"/>
            <color indexed="18"/>
            <rFont val="Tahoma"/>
            <family val="2"/>
          </rPr>
          <t>1. cliquer dans la cellule
2. choisir dans la liste déroulante</t>
        </r>
      </text>
    </comment>
    <comment ref="E39" authorId="3" shapeId="0" xr:uid="{00000000-0006-0000-0000-00000D000000}">
      <text>
        <r>
          <rPr>
            <b/>
            <sz val="8"/>
            <color indexed="53"/>
            <rFont val="Tahoma"/>
            <family val="2"/>
          </rPr>
          <t>Cette zone est modifiable :</t>
        </r>
        <r>
          <rPr>
            <b/>
            <sz val="8"/>
            <color indexed="18"/>
            <rFont val="Tahoma"/>
            <family val="2"/>
          </rPr>
          <t xml:space="preserve"> 
vous devez saisir le taux spécifique correspondant 
</t>
        </r>
        <r>
          <rPr>
            <sz val="8"/>
            <color indexed="18"/>
            <rFont val="Tahoma"/>
            <family val="2"/>
          </rPr>
          <t>(en fonction de numéro de SIRET)</t>
        </r>
      </text>
    </comment>
    <comment ref="E41" authorId="1" shapeId="0" xr:uid="{00000000-0006-0000-0000-00000E000000}">
      <text>
        <r>
          <rPr>
            <b/>
            <sz val="8"/>
            <color indexed="53"/>
            <rFont val="Tahoma"/>
            <family val="2"/>
          </rPr>
          <t>Cette zone est modifiable :</t>
        </r>
        <r>
          <rPr>
            <sz val="8"/>
            <color indexed="81"/>
            <rFont val="Tahoma"/>
            <family val="2"/>
          </rPr>
          <t xml:space="preserve"> 
</t>
        </r>
        <r>
          <rPr>
            <b/>
            <sz val="8"/>
            <color indexed="12"/>
            <rFont val="Tahoma"/>
            <family val="2"/>
          </rPr>
          <t xml:space="preserve">vous devez saisir le taux spécifique correspondant 
</t>
        </r>
        <r>
          <rPr>
            <sz val="8"/>
            <color indexed="12"/>
            <rFont val="Tahoma"/>
            <family val="2"/>
          </rPr>
          <t>(en fonction du Code INSEE commune (lieu de travail))</t>
        </r>
      </text>
    </comment>
    <comment ref="E42" authorId="4" shapeId="0" xr:uid="{D42A945D-28B9-477E-8124-2B0D48BCB9D1}">
      <text>
        <r>
          <rPr>
            <b/>
            <sz val="9"/>
            <color indexed="81"/>
            <rFont val="Tahoma"/>
            <family val="2"/>
          </rPr>
          <t>Cette zone est modifiable :</t>
        </r>
        <r>
          <rPr>
            <sz val="9"/>
            <color indexed="81"/>
            <rFont val="Tahoma"/>
            <family val="2"/>
          </rPr>
          <t xml:space="preserve"> 
Vous devez saisir le taux spécifique correspondant 
(en fonction du Code INSEE commune (lieu de travail))</t>
        </r>
      </text>
    </comment>
    <comment ref="E43" authorId="4" shapeId="0" xr:uid="{20DFE079-4812-4F68-9D59-F629F16DA8CB}">
      <text>
        <r>
          <rPr>
            <sz val="9"/>
            <color indexed="81"/>
            <rFont val="Tahoma"/>
            <family val="2"/>
          </rPr>
          <t xml:space="preserve">Renseigner le taux de la cotisation le cas échéant
</t>
        </r>
      </text>
    </comment>
    <comment ref="B51" authorId="0" shapeId="0" xr:uid="{00000000-0006-0000-0000-00000F000000}">
      <text>
        <r>
          <rPr>
            <b/>
            <sz val="8"/>
            <color indexed="18"/>
            <rFont val="Tahoma"/>
            <family val="2"/>
          </rPr>
          <t>= Net à payer + CSG + CRDS (non deduct.)</t>
        </r>
      </text>
    </comment>
    <comment ref="B53" authorId="0" shapeId="0" xr:uid="{00000000-0006-0000-0000-000010000000}">
      <text>
        <r>
          <rPr>
            <b/>
            <sz val="8"/>
            <color indexed="18"/>
            <rFont val="Tahoma"/>
            <family val="2"/>
          </rPr>
          <t>= Base brute - charges salariales</t>
        </r>
      </text>
    </comment>
    <comment ref="C53" authorId="1" shapeId="0" xr:uid="{00000000-0006-0000-0000-000011000000}">
      <text>
        <r>
          <rPr>
            <b/>
            <sz val="8"/>
            <color indexed="18"/>
            <rFont val="Tahoma"/>
            <family val="2"/>
          </rPr>
          <t>Si pas d'acompte : 
1. cliquer dans la cellule et dans la liste déroulante 
2. choisir Sans Acompte</t>
        </r>
      </text>
    </comment>
    <comment ref="D53" authorId="0" shapeId="0" xr:uid="{00000000-0006-0000-0000-000012000000}">
      <text>
        <r>
          <rPr>
            <b/>
            <sz val="8"/>
            <color indexed="18"/>
            <rFont val="Tahoma"/>
            <family val="2"/>
          </rPr>
          <t>90 % du net à payer dû, au cours du mois de recrutement</t>
        </r>
      </text>
    </comment>
    <comment ref="C55" authorId="0" shapeId="0" xr:uid="{00000000-0006-0000-0000-000013000000}">
      <text>
        <r>
          <rPr>
            <b/>
            <sz val="8"/>
            <color indexed="18"/>
            <rFont val="Tahoma"/>
            <family val="2"/>
          </rPr>
          <t>Saisir le montant du transport</t>
        </r>
      </text>
    </comment>
    <comment ref="B57" authorId="0" shapeId="0" xr:uid="{00000000-0006-0000-0000-000014000000}">
      <text>
        <r>
          <rPr>
            <b/>
            <sz val="8"/>
            <color indexed="18"/>
            <rFont val="Tahoma"/>
            <family val="2"/>
          </rPr>
          <t>= Base brute + charges patronales + transport</t>
        </r>
      </text>
    </comment>
    <comment ref="C61" authorId="2" shapeId="0" xr:uid="{00000000-0006-0000-0000-000015000000}">
      <text>
        <r>
          <rPr>
            <b/>
            <sz val="9"/>
            <color indexed="81"/>
            <rFont val="Tahoma"/>
            <family val="2"/>
          </rPr>
          <t>Saisir le taux de financement d'un contrat</t>
        </r>
      </text>
    </comment>
    <comment ref="D65" authorId="0" shapeId="0" xr:uid="{00000000-0006-0000-0000-000016000000}">
      <text>
        <r>
          <rPr>
            <b/>
            <sz val="8"/>
            <color indexed="18"/>
            <rFont val="Tahoma"/>
            <family val="2"/>
          </rPr>
          <t>Avec PPE</t>
        </r>
      </text>
    </comment>
    <comment ref="E65" authorId="0" shapeId="0" xr:uid="{00000000-0006-0000-0000-000017000000}">
      <text>
        <r>
          <rPr>
            <b/>
            <sz val="8"/>
            <color indexed="18"/>
            <rFont val="Tahoma"/>
            <family val="2"/>
          </rPr>
          <t>Sans PPE</t>
        </r>
      </text>
    </comment>
    <comment ref="F65" authorId="0" shapeId="0" xr:uid="{00000000-0006-0000-0000-000018000000}">
      <text>
        <r>
          <rPr>
            <b/>
            <sz val="8"/>
            <color indexed="18"/>
            <rFont val="Tahoma"/>
            <family val="2"/>
          </rPr>
          <t xml:space="preserve">Saisir le taux d'augmentation prévisionnel
</t>
        </r>
        <r>
          <rPr>
            <b/>
            <i/>
            <sz val="7"/>
            <color indexed="18"/>
            <rFont val="Tahoma"/>
            <family val="2"/>
          </rPr>
          <t>ex :</t>
        </r>
        <r>
          <rPr>
            <b/>
            <sz val="7"/>
            <color indexed="18"/>
            <rFont val="Tahoma"/>
            <family val="2"/>
          </rPr>
          <t xml:space="preserve"> 1 % sur 1 année entière ou 0,5 % sur 1 semestre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fanny.bertho</author>
    <author>CNRS</author>
    <author>SSI</author>
  </authors>
  <commentList>
    <comment ref="B4" authorId="0" shapeId="0" xr:uid="{00000000-0006-0000-0100-000001000000}">
      <text>
        <r>
          <rPr>
            <b/>
            <sz val="8"/>
            <color indexed="18"/>
            <rFont val="Tahoma"/>
            <family val="2"/>
          </rPr>
          <t>saisir le nom de l'agent</t>
        </r>
      </text>
    </comment>
    <comment ref="B6" authorId="0" shapeId="0" xr:uid="{00000000-0006-0000-0100-000002000000}">
      <text>
        <r>
          <rPr>
            <b/>
            <sz val="8"/>
            <color indexed="18"/>
            <rFont val="Tahoma"/>
            <family val="2"/>
          </rPr>
          <t>saisir la date du début du contrat</t>
        </r>
      </text>
    </comment>
    <comment ref="D6" authorId="1" shapeId="0" xr:uid="{00000000-0006-0000-0100-000003000000}">
      <text>
        <r>
          <rPr>
            <b/>
            <sz val="8"/>
            <color indexed="18"/>
            <rFont val="Tahoma"/>
            <family val="2"/>
          </rPr>
          <t xml:space="preserve">saisir la date du fin du contrat
</t>
        </r>
      </text>
    </comment>
    <comment ref="B12" authorId="0" shapeId="0" xr:uid="{00000000-0006-0000-0100-000004000000}">
      <text>
        <r>
          <rPr>
            <b/>
            <sz val="8"/>
            <color indexed="18"/>
            <rFont val="Tahoma"/>
            <family val="2"/>
          </rPr>
          <t xml:space="preserve">1. cliquer dans la cellule 
2. choisir dans la liste déroulante le département
</t>
        </r>
        <r>
          <rPr>
            <sz val="8"/>
            <color indexed="10"/>
            <rFont val="Tahoma"/>
            <family val="2"/>
          </rPr>
          <t>(</t>
        </r>
        <r>
          <rPr>
            <b/>
            <sz val="8"/>
            <color indexed="10"/>
            <rFont val="Tahoma"/>
            <family val="2"/>
          </rPr>
          <t>1</t>
        </r>
        <r>
          <rPr>
            <sz val="8"/>
            <color indexed="10"/>
            <rFont val="Tahoma"/>
            <family val="2"/>
          </rPr>
          <t xml:space="preserve"> = </t>
        </r>
        <r>
          <rPr>
            <sz val="8"/>
            <color indexed="12"/>
            <rFont val="Tahoma"/>
            <family val="2"/>
          </rPr>
          <t>Hors Alsace et Moselle</t>
        </r>
        <r>
          <rPr>
            <sz val="8"/>
            <color indexed="10"/>
            <rFont val="Tahoma"/>
            <family val="2"/>
          </rPr>
          <t xml:space="preserve"> , </t>
        </r>
        <r>
          <rPr>
            <b/>
            <sz val="8"/>
            <color indexed="10"/>
            <rFont val="Tahoma"/>
            <family val="2"/>
          </rPr>
          <t>2</t>
        </r>
        <r>
          <rPr>
            <sz val="8"/>
            <color indexed="10"/>
            <rFont val="Tahoma"/>
            <family val="2"/>
          </rPr>
          <t xml:space="preserve"> =</t>
        </r>
        <r>
          <rPr>
            <sz val="8"/>
            <color indexed="12"/>
            <rFont val="Tahoma"/>
            <family val="2"/>
          </rPr>
          <t xml:space="preserve"> Alsace et Moselle</t>
        </r>
        <r>
          <rPr>
            <sz val="8"/>
            <color indexed="10"/>
            <rFont val="Tahoma"/>
            <family val="2"/>
          </rPr>
          <t>)</t>
        </r>
      </text>
    </comment>
    <comment ref="F12" authorId="0" shapeId="0" xr:uid="{00000000-0006-0000-0100-000005000000}">
      <text>
        <r>
          <rPr>
            <b/>
            <sz val="8"/>
            <color indexed="18"/>
            <rFont val="Tahoma"/>
            <family val="2"/>
          </rPr>
          <t>1. cliquer dans la cellule
2. choisir dans la liste déroulante</t>
        </r>
      </text>
    </comment>
    <comment ref="B14" authorId="0" shapeId="0" xr:uid="{00000000-0006-0000-0100-000006000000}">
      <text>
        <r>
          <rPr>
            <b/>
            <sz val="8"/>
            <color indexed="18"/>
            <rFont val="Tahoma"/>
            <family val="2"/>
          </rPr>
          <t>à saisir</t>
        </r>
      </text>
    </comment>
    <comment ref="F14" authorId="0" shapeId="0" xr:uid="{00000000-0006-0000-0100-000007000000}">
      <text>
        <r>
          <rPr>
            <b/>
            <sz val="8"/>
            <color indexed="18"/>
            <rFont val="Tahoma"/>
            <family val="2"/>
          </rPr>
          <t>1. cliquer dans la cellule
2. choisir le type de financement</t>
        </r>
      </text>
    </comment>
    <comment ref="C19" authorId="1" shapeId="0" xr:uid="{00000000-0006-0000-0100-000008000000}">
      <text>
        <r>
          <rPr>
            <b/>
            <sz val="8"/>
            <color indexed="18"/>
            <rFont val="Tahoma"/>
            <family val="2"/>
          </rPr>
          <t xml:space="preserve">1. cliquer dans la cellule 
2. choisir dans la liste déroulante le taux spécifique
</t>
        </r>
        <r>
          <rPr>
            <sz val="8"/>
            <color indexed="18"/>
            <rFont val="Tahoma"/>
            <family val="2"/>
          </rPr>
          <t>(en fonction du lieu d'affectation)</t>
        </r>
      </text>
    </comment>
    <comment ref="D20" authorId="0" shapeId="0" xr:uid="{00000000-0006-0000-0100-000009000000}">
      <text>
        <r>
          <rPr>
            <b/>
            <sz val="8"/>
            <color indexed="18"/>
            <rFont val="Tahoma"/>
            <family val="2"/>
          </rPr>
          <t>à saisir si majoration salariale motivée</t>
        </r>
      </text>
    </comment>
    <comment ref="B21" authorId="0" shapeId="0" xr:uid="{00000000-0006-0000-0100-00000A000000}">
      <text>
        <r>
          <rPr>
            <b/>
            <sz val="8"/>
            <color indexed="18"/>
            <rFont val="Tahoma"/>
            <family val="2"/>
          </rPr>
          <t>Saisir le nombre d'enfants</t>
        </r>
      </text>
    </comment>
    <comment ref="D22" authorId="0" shapeId="0" xr:uid="{00000000-0006-0000-0100-00000B000000}">
      <text>
        <r>
          <rPr>
            <b/>
            <sz val="8"/>
            <color indexed="18"/>
            <rFont val="Tahoma"/>
            <family val="2"/>
          </rPr>
          <t xml:space="preserve">à saisir si d'autres indemnités
</t>
        </r>
        <r>
          <rPr>
            <sz val="8"/>
            <color indexed="18"/>
            <rFont val="Tahoma"/>
            <family val="2"/>
          </rPr>
          <t>(Mobilité, formation, voyage, etc)</t>
        </r>
      </text>
    </comment>
    <comment ref="E36" authorId="2" shapeId="0" xr:uid="{00000000-0006-0000-0100-00000C000000}">
      <text>
        <r>
          <rPr>
            <b/>
            <sz val="8"/>
            <color indexed="53"/>
            <rFont val="Tahoma"/>
            <family val="2"/>
          </rPr>
          <t>Cette zone est modifiable :</t>
        </r>
        <r>
          <rPr>
            <b/>
            <sz val="8"/>
            <color indexed="18"/>
            <rFont val="Tahoma"/>
            <family val="2"/>
          </rPr>
          <t xml:space="preserve"> 
vous devez saisir le taux spécifique correspondant 
</t>
        </r>
        <r>
          <rPr>
            <sz val="8"/>
            <color indexed="18"/>
            <rFont val="Tahoma"/>
            <family val="2"/>
          </rPr>
          <t>(en fonction de numéro de SIRET)</t>
        </r>
      </text>
    </comment>
    <comment ref="E38" authorId="1" shapeId="0" xr:uid="{00000000-0006-0000-0100-00000D000000}">
      <text>
        <r>
          <rPr>
            <b/>
            <sz val="8"/>
            <color indexed="53"/>
            <rFont val="Tahoma"/>
            <family val="2"/>
          </rPr>
          <t>Cette zone est modifiable :</t>
        </r>
        <r>
          <rPr>
            <sz val="8"/>
            <color indexed="81"/>
            <rFont val="Tahoma"/>
            <family val="2"/>
          </rPr>
          <t xml:space="preserve"> 
</t>
        </r>
        <r>
          <rPr>
            <b/>
            <sz val="8"/>
            <color indexed="12"/>
            <rFont val="Tahoma"/>
            <family val="2"/>
          </rPr>
          <t xml:space="preserve">vous devez saisir le taux spécifique correspondant 
</t>
        </r>
        <r>
          <rPr>
            <sz val="8"/>
            <color indexed="12"/>
            <rFont val="Tahoma"/>
            <family val="2"/>
          </rPr>
          <t>(en fonction du Code INSEE commune (lieu de travail))</t>
        </r>
      </text>
    </comment>
    <comment ref="B46" authorId="0" shapeId="0" xr:uid="{00000000-0006-0000-0100-00000E000000}">
      <text>
        <r>
          <rPr>
            <b/>
            <sz val="8"/>
            <color indexed="18"/>
            <rFont val="Tahoma"/>
            <family val="2"/>
          </rPr>
          <t>= Net à payer + CSG + CRDS (non deduct.)</t>
        </r>
      </text>
    </comment>
    <comment ref="B48" authorId="0" shapeId="0" xr:uid="{00000000-0006-0000-0100-00000F000000}">
      <text>
        <r>
          <rPr>
            <b/>
            <sz val="8"/>
            <color indexed="18"/>
            <rFont val="Tahoma"/>
            <family val="2"/>
          </rPr>
          <t>= Base brute - charges salariales</t>
        </r>
      </text>
    </comment>
    <comment ref="C48" authorId="1" shapeId="0" xr:uid="{00000000-0006-0000-0100-000010000000}">
      <text>
        <r>
          <rPr>
            <b/>
            <sz val="8"/>
            <color indexed="18"/>
            <rFont val="Tahoma"/>
            <family val="2"/>
          </rPr>
          <t>Si pas d'acompte : 
1. cliquer dans la cellule et dans la liste déroulante 
2. choisir Sans Acompte</t>
        </r>
      </text>
    </comment>
    <comment ref="D48" authorId="0" shapeId="0" xr:uid="{00000000-0006-0000-0100-000011000000}">
      <text>
        <r>
          <rPr>
            <b/>
            <sz val="8"/>
            <color indexed="18"/>
            <rFont val="Tahoma"/>
            <family val="2"/>
          </rPr>
          <t>90 % du net à payer dû, au cours du mois de recrutement</t>
        </r>
      </text>
    </comment>
    <comment ref="C50" authorId="0" shapeId="0" xr:uid="{00000000-0006-0000-0100-000012000000}">
      <text>
        <r>
          <rPr>
            <b/>
            <sz val="8"/>
            <color indexed="18"/>
            <rFont val="Tahoma"/>
            <family val="2"/>
          </rPr>
          <t>Saisir le montant du transport</t>
        </r>
      </text>
    </comment>
    <comment ref="B52" authorId="0" shapeId="0" xr:uid="{00000000-0006-0000-0100-000013000000}">
      <text>
        <r>
          <rPr>
            <b/>
            <sz val="8"/>
            <color indexed="18"/>
            <rFont val="Tahoma"/>
            <family val="2"/>
          </rPr>
          <t>=BaseBrute + transport +charges partonales</t>
        </r>
      </text>
    </comment>
    <comment ref="B54" authorId="0" shapeId="0" xr:uid="{00000000-0006-0000-0100-000014000000}">
      <text>
        <r>
          <rPr>
            <b/>
            <sz val="8"/>
            <color indexed="18"/>
            <rFont val="Tahoma"/>
            <family val="2"/>
          </rPr>
          <t>= (Base brute) x taux PPE</t>
        </r>
      </text>
    </comment>
    <comment ref="B56" authorId="0" shapeId="0" xr:uid="{00000000-0006-0000-0100-000015000000}">
      <text>
        <r>
          <rPr>
            <b/>
            <sz val="8"/>
            <color indexed="18"/>
            <rFont val="Tahoma"/>
            <family val="2"/>
          </rPr>
          <t>= Base brute + PPE + charges patronales + transport</t>
        </r>
      </text>
    </comment>
    <comment ref="D61" authorId="0" shapeId="0" xr:uid="{00000000-0006-0000-0100-000016000000}">
      <text>
        <r>
          <rPr>
            <b/>
            <sz val="8"/>
            <color indexed="18"/>
            <rFont val="Tahoma"/>
            <family val="2"/>
          </rPr>
          <t>Avec PPE</t>
        </r>
      </text>
    </comment>
    <comment ref="E61" authorId="0" shapeId="0" xr:uid="{00000000-0006-0000-0100-000017000000}">
      <text>
        <r>
          <rPr>
            <b/>
            <sz val="8"/>
            <color indexed="18"/>
            <rFont val="Tahoma"/>
            <family val="2"/>
          </rPr>
          <t>Sans PPE</t>
        </r>
      </text>
    </comment>
    <comment ref="F61" authorId="0" shapeId="0" xr:uid="{00000000-0006-0000-0100-000018000000}">
      <text>
        <r>
          <rPr>
            <b/>
            <sz val="8"/>
            <color indexed="18"/>
            <rFont val="Tahoma"/>
            <family val="2"/>
          </rPr>
          <t xml:space="preserve">Saisir le taux d'augmentation prévisionnel
</t>
        </r>
        <r>
          <rPr>
            <b/>
            <i/>
            <sz val="7"/>
            <color indexed="18"/>
            <rFont val="Tahoma"/>
            <family val="2"/>
          </rPr>
          <t>ex :</t>
        </r>
        <r>
          <rPr>
            <b/>
            <sz val="7"/>
            <color indexed="18"/>
            <rFont val="Tahoma"/>
            <family val="2"/>
          </rPr>
          <t xml:space="preserve"> 1 % sur 1 année entière ou 0,5 % sur 1 semestre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fanny.bertho</author>
    <author>CNRS</author>
    <author>VARELA David</author>
  </authors>
  <commentList>
    <comment ref="B4" authorId="0" shapeId="0" xr:uid="{00000000-0006-0000-0200-000001000000}">
      <text>
        <r>
          <rPr>
            <b/>
            <sz val="8"/>
            <color indexed="12"/>
            <rFont val="Tahoma"/>
            <family val="2"/>
          </rPr>
          <t>saisir le nom de l'agent</t>
        </r>
      </text>
    </comment>
    <comment ref="B6" authorId="0" shapeId="0" xr:uid="{00000000-0006-0000-0200-000002000000}">
      <text>
        <r>
          <rPr>
            <b/>
            <sz val="8"/>
            <color indexed="12"/>
            <rFont val="Tahoma"/>
            <family val="2"/>
          </rPr>
          <t>Saisir la date du début du contrat
Respecter le format 00/00/0000</t>
        </r>
      </text>
    </comment>
    <comment ref="D6" authorId="0" shapeId="0" xr:uid="{00000000-0006-0000-0200-000003000000}">
      <text>
        <r>
          <rPr>
            <b/>
            <sz val="8"/>
            <color indexed="12"/>
            <rFont val="Tahoma"/>
            <family val="2"/>
          </rPr>
          <t>Saisir la date de fin du contrat
Respecter le format 00/00/0000</t>
        </r>
      </text>
    </comment>
    <comment ref="F6" authorId="1" shapeId="0" xr:uid="{00000000-0006-0000-0200-000004000000}">
      <text>
        <r>
          <rPr>
            <sz val="8"/>
            <color indexed="12"/>
            <rFont val="Tahoma"/>
            <family val="2"/>
          </rPr>
          <t xml:space="preserve">Les vacataires sont recrutés sur décision mensuelle renouvelable 
dans la limite de 6 mois et sont rémunérés à l’heure. 
Durée maximale 120 heures par mois. 
Saisir les nombres d’heures dans la cellule </t>
        </r>
        <r>
          <rPr>
            <b/>
            <sz val="8"/>
            <color indexed="12"/>
            <rFont val="Tahoma"/>
            <family val="2"/>
          </rPr>
          <t>B12</t>
        </r>
        <r>
          <rPr>
            <sz val="8"/>
            <color indexed="12"/>
            <rFont val="Tahoma"/>
            <family val="2"/>
          </rPr>
          <t xml:space="preserve">.
</t>
        </r>
      </text>
    </comment>
    <comment ref="B8" authorId="0" shapeId="0" xr:uid="{00000000-0006-0000-0200-000005000000}">
      <text>
        <r>
          <rPr>
            <b/>
            <sz val="8"/>
            <color indexed="12"/>
            <rFont val="Tahoma"/>
            <family val="2"/>
          </rPr>
          <t>1. cliquer dans la cellule et 
2. choisir dans la liste déroulante :</t>
        </r>
        <r>
          <rPr>
            <sz val="8"/>
            <color indexed="12"/>
            <rFont val="Tahoma"/>
            <family val="2"/>
          </rPr>
          <t xml:space="preserve"> le niveau</t>
        </r>
      </text>
    </comment>
    <comment ref="B10" authorId="0" shapeId="0" xr:uid="{00000000-0006-0000-0200-000006000000}">
      <text>
        <r>
          <rPr>
            <b/>
            <sz val="8"/>
            <color indexed="12"/>
            <rFont val="Tahoma"/>
            <family val="2"/>
          </rPr>
          <t>1. cliquer dans la cellule 
2. choisir dans la liste déroulante le département
(</t>
        </r>
        <r>
          <rPr>
            <b/>
            <sz val="8"/>
            <color indexed="10"/>
            <rFont val="Tahoma"/>
            <family val="2"/>
          </rPr>
          <t>1 =</t>
        </r>
        <r>
          <rPr>
            <b/>
            <sz val="8"/>
            <color indexed="12"/>
            <rFont val="Tahoma"/>
            <family val="2"/>
          </rPr>
          <t xml:space="preserve"> </t>
        </r>
        <r>
          <rPr>
            <sz val="8"/>
            <color indexed="12"/>
            <rFont val="Tahoma"/>
            <family val="2"/>
          </rPr>
          <t>Hors Alsace et Moselle</t>
        </r>
        <r>
          <rPr>
            <b/>
            <sz val="8"/>
            <color indexed="12"/>
            <rFont val="Tahoma"/>
            <family val="2"/>
          </rPr>
          <t xml:space="preserve"> , </t>
        </r>
        <r>
          <rPr>
            <b/>
            <sz val="8"/>
            <color indexed="10"/>
            <rFont val="Tahoma"/>
            <family val="2"/>
          </rPr>
          <t>2 =</t>
        </r>
        <r>
          <rPr>
            <b/>
            <sz val="8"/>
            <color indexed="12"/>
            <rFont val="Tahoma"/>
            <family val="2"/>
          </rPr>
          <t xml:space="preserve"> </t>
        </r>
        <r>
          <rPr>
            <sz val="8"/>
            <color indexed="12"/>
            <rFont val="Tahoma"/>
            <family val="2"/>
          </rPr>
          <t>Alsace et Moselle</t>
        </r>
        <r>
          <rPr>
            <b/>
            <sz val="8"/>
            <color indexed="12"/>
            <rFont val="Tahoma"/>
            <family val="2"/>
          </rPr>
          <t>)</t>
        </r>
      </text>
    </comment>
    <comment ref="F10" authorId="0" shapeId="0" xr:uid="{00000000-0006-0000-0200-000007000000}">
      <text>
        <r>
          <rPr>
            <b/>
            <sz val="8"/>
            <color indexed="12"/>
            <rFont val="Tahoma"/>
            <family val="2"/>
          </rPr>
          <t>cliquer dans la cellule et choisir dans la liste déroulante</t>
        </r>
      </text>
    </comment>
    <comment ref="B12" authorId="0" shapeId="0" xr:uid="{00000000-0006-0000-0200-000008000000}">
      <text>
        <r>
          <rPr>
            <b/>
            <sz val="8"/>
            <color indexed="12"/>
            <rFont val="Tahoma"/>
            <family val="2"/>
          </rPr>
          <t>saisir les nombres d'heures</t>
        </r>
      </text>
    </comment>
    <comment ref="F12" authorId="0" shapeId="0" xr:uid="{00000000-0006-0000-0200-000009000000}">
      <text>
        <r>
          <rPr>
            <b/>
            <sz val="8"/>
            <color indexed="12"/>
            <rFont val="Tahoma"/>
            <family val="2"/>
          </rPr>
          <t>1. cliquer dans la cellule
2. choisir le type de financement</t>
        </r>
      </text>
    </comment>
    <comment ref="F14" authorId="1" shapeId="0" xr:uid="{00000000-0006-0000-0200-00000A000000}">
      <text>
        <r>
          <rPr>
            <b/>
            <sz val="8"/>
            <color indexed="12"/>
            <rFont val="Tahoma"/>
            <family val="2"/>
          </rPr>
          <t xml:space="preserve">statut fonctionnaire ou pas (V/VT/TN) </t>
        </r>
        <r>
          <rPr>
            <sz val="8"/>
            <color indexed="12"/>
            <rFont val="Tahoma"/>
            <family val="2"/>
          </rPr>
          <t xml:space="preserve">
</t>
        </r>
      </text>
    </comment>
    <comment ref="E31" authorId="1" shapeId="0" xr:uid="{00000000-0006-0000-0200-00000B000000}">
      <text>
        <r>
          <rPr>
            <b/>
            <sz val="8"/>
            <color indexed="10"/>
            <rFont val="Tahoma"/>
            <family val="2"/>
          </rPr>
          <t>Cette zone est modifiable :</t>
        </r>
        <r>
          <rPr>
            <b/>
            <sz val="8"/>
            <color indexed="53"/>
            <rFont val="Tahoma"/>
            <family val="2"/>
          </rPr>
          <t xml:space="preserve"> 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2"/>
            <rFont val="Tahoma"/>
            <family val="2"/>
          </rPr>
          <t>vous devez saisir le taux spécifique correspondant</t>
        </r>
        <r>
          <rPr>
            <b/>
            <sz val="8"/>
            <color indexed="81"/>
            <rFont val="Tahoma"/>
            <family val="2"/>
          </rPr>
          <t xml:space="preserve"> 
</t>
        </r>
        <r>
          <rPr>
            <sz val="8"/>
            <color indexed="81"/>
            <rFont val="Tahoma"/>
            <family val="2"/>
          </rPr>
          <t>(en fonction de numéro de SIRET)</t>
        </r>
      </text>
    </comment>
    <comment ref="E33" authorId="1" shapeId="0" xr:uid="{00000000-0006-0000-0200-00000C000000}">
      <text>
        <r>
          <rPr>
            <b/>
            <sz val="8"/>
            <color indexed="10"/>
            <rFont val="Tahoma"/>
            <family val="2"/>
          </rPr>
          <t>Cette zone est modifiable :</t>
        </r>
        <r>
          <rPr>
            <b/>
            <sz val="8"/>
            <color indexed="81"/>
            <rFont val="Tahoma"/>
            <family val="2"/>
          </rPr>
          <t xml:space="preserve"> 
</t>
        </r>
        <r>
          <rPr>
            <b/>
            <sz val="8"/>
            <color indexed="12"/>
            <rFont val="Tahoma"/>
            <family val="2"/>
          </rPr>
          <t xml:space="preserve">vous devez saisir le taux spécifique correspondant 
</t>
        </r>
        <r>
          <rPr>
            <sz val="8"/>
            <color indexed="12"/>
            <rFont val="Tahoma"/>
            <family val="2"/>
          </rPr>
          <t>(en fonction du Code INSEE commune (lieu de travail))</t>
        </r>
      </text>
    </comment>
    <comment ref="E34" authorId="2" shapeId="0" xr:uid="{D23472D0-3FD4-4697-B2C3-857294B9646F}">
      <text>
        <r>
          <rPr>
            <sz val="9"/>
            <color indexed="81"/>
            <rFont val="Tahoma"/>
            <family val="2"/>
          </rPr>
          <t xml:space="preserve">Cette zone est modifiable: 
Vous devez saisir le taux spécifique correspondant 
(en fonction du Code INSEE commune (lieu de travail))
</t>
        </r>
      </text>
    </comment>
    <comment ref="E35" authorId="2" shapeId="0" xr:uid="{8FD6314C-931C-4E4D-A17C-7CDDB7BC9123}">
      <text>
        <r>
          <rPr>
            <sz val="9"/>
            <color indexed="81"/>
            <rFont val="Tahoma"/>
            <family val="2"/>
          </rPr>
          <t xml:space="preserve">Renseigner le taux de la cotisation le cas échéant
</t>
        </r>
      </text>
    </comment>
    <comment ref="B43" authorId="0" shapeId="0" xr:uid="{00000000-0006-0000-0200-00000D000000}">
      <text>
        <r>
          <rPr>
            <b/>
            <sz val="8"/>
            <color indexed="12"/>
            <rFont val="Tahoma"/>
            <family val="2"/>
          </rPr>
          <t>= Base Brute - charges salariales +CSG/RDS non déductible</t>
        </r>
      </text>
    </comment>
    <comment ref="B45" authorId="0" shapeId="0" xr:uid="{00000000-0006-0000-0200-00000E000000}">
      <text>
        <r>
          <rPr>
            <b/>
            <sz val="8"/>
            <color indexed="12"/>
            <rFont val="Tahoma"/>
            <family val="2"/>
          </rPr>
          <t xml:space="preserve">= Base brute - charges salariales + transport
</t>
        </r>
      </text>
    </comment>
    <comment ref="C47" authorId="0" shapeId="0" xr:uid="{00000000-0006-0000-0200-00000F000000}">
      <text>
        <r>
          <rPr>
            <b/>
            <sz val="8"/>
            <color indexed="12"/>
            <rFont val="Tahoma"/>
            <family val="2"/>
          </rPr>
          <t>Saisir le montant du transport</t>
        </r>
      </text>
    </comment>
    <comment ref="B49" authorId="0" shapeId="0" xr:uid="{00000000-0006-0000-0200-000010000000}">
      <text>
        <r>
          <rPr>
            <b/>
            <sz val="8"/>
            <color indexed="12"/>
            <rFont val="Tahoma"/>
            <family val="2"/>
          </rPr>
          <t>= Base brute + charges patronales + transport</t>
        </r>
      </text>
    </comment>
  </commentList>
</comments>
</file>

<file path=xl/sharedStrings.xml><?xml version="1.0" encoding="utf-8"?>
<sst xmlns="http://schemas.openxmlformats.org/spreadsheetml/2006/main" count="348" uniqueCount="197">
  <si>
    <t>Solidarité</t>
  </si>
  <si>
    <t>TX</t>
  </si>
  <si>
    <t>PS</t>
  </si>
  <si>
    <t>PP</t>
  </si>
  <si>
    <t>AUTRES DONNEES</t>
  </si>
  <si>
    <t>Plancher indemnité de résidence</t>
  </si>
  <si>
    <t>Plafond SS</t>
  </si>
  <si>
    <t>Plancher solidarité IM</t>
  </si>
  <si>
    <t>Heures mensuelles 100 %</t>
  </si>
  <si>
    <t>Base</t>
  </si>
  <si>
    <t>Charges sociales</t>
  </si>
  <si>
    <t>Nom de l'agent :</t>
  </si>
  <si>
    <t>Indemnité de résidence</t>
  </si>
  <si>
    <t>Total Base brute</t>
  </si>
  <si>
    <t>Quotité :</t>
  </si>
  <si>
    <t>Calcul du traitement brut</t>
  </si>
  <si>
    <t>Montant</t>
  </si>
  <si>
    <t>CHARGES SOCIALES</t>
  </si>
  <si>
    <t>BAS-RHIN</t>
  </si>
  <si>
    <t>HAUT-RHIN</t>
  </si>
  <si>
    <t>Charges</t>
  </si>
  <si>
    <t>CSG déductible</t>
  </si>
  <si>
    <t>CRDS non déductible</t>
  </si>
  <si>
    <t>CSG non déductible</t>
  </si>
  <si>
    <t>Solidarité autonomie</t>
  </si>
  <si>
    <t>SS Maladie (sur tot.)</t>
  </si>
  <si>
    <t>Vieillesse (sur tot)</t>
  </si>
  <si>
    <t>Vieillesse (sur plaf)</t>
  </si>
  <si>
    <t>Accident du travail</t>
  </si>
  <si>
    <t>Allocations familiales (sur tot)</t>
  </si>
  <si>
    <t>IRCANTEC tranche A</t>
  </si>
  <si>
    <t>IRCANTEC tranche B</t>
  </si>
  <si>
    <t>Résidence administrative</t>
  </si>
  <si>
    <t>Domicile fiscal</t>
  </si>
  <si>
    <t>France</t>
  </si>
  <si>
    <t>Hors France</t>
  </si>
  <si>
    <t>Dom. fiscal :</t>
  </si>
  <si>
    <t>Res.administrative :</t>
  </si>
  <si>
    <t>Maladie (dom fisc hors France)</t>
  </si>
  <si>
    <t>Total charges sociales</t>
  </si>
  <si>
    <t>Net imposable</t>
  </si>
  <si>
    <t>Net à payer</t>
  </si>
  <si>
    <t>Coût pour le laboratoire</t>
  </si>
  <si>
    <t>au :</t>
  </si>
  <si>
    <t>Valeur point indice 100</t>
  </si>
  <si>
    <t>(en jours)</t>
  </si>
  <si>
    <t>Année</t>
  </si>
  <si>
    <t>Nbr jours</t>
  </si>
  <si>
    <t>TOTAL COÛT SUR LE CONTRAT</t>
  </si>
  <si>
    <t>ECHEANCIER</t>
  </si>
  <si>
    <t>Coût mensuel</t>
  </si>
  <si>
    <t>Coût an prorat.</t>
  </si>
  <si>
    <t>Montant à ordonnancer</t>
  </si>
  <si>
    <t>SIMULATION DES COUTS DES CDD</t>
  </si>
  <si>
    <t>Recrutement du :</t>
  </si>
  <si>
    <t>FNAL (sur plaf)</t>
  </si>
  <si>
    <t>FNAL (sur tot.)</t>
  </si>
  <si>
    <t>Majoration salariale motivée</t>
  </si>
  <si>
    <t>Autres ressources</t>
  </si>
  <si>
    <t>Supplément familial de traitement</t>
  </si>
  <si>
    <t>Taxe sur les salaires</t>
  </si>
  <si>
    <t>Tranches de salaire brut par salarié</t>
  </si>
  <si>
    <t>Taux</t>
  </si>
  <si>
    <t>Mensuel</t>
  </si>
  <si>
    <t>Annuel</t>
  </si>
  <si>
    <t>au-delà</t>
  </si>
  <si>
    <t>Nbr d'enfants</t>
  </si>
  <si>
    <t>&gt;3 par enfant supplémentaire</t>
  </si>
  <si>
    <t>Oui</t>
  </si>
  <si>
    <t>Non</t>
  </si>
  <si>
    <t>Augmentation
prévisionnelle</t>
  </si>
  <si>
    <t>Prévision d'augment.</t>
  </si>
  <si>
    <t>SIMULATION DES COUTS DES VACATIONS</t>
  </si>
  <si>
    <t>travaux d'exécution</t>
  </si>
  <si>
    <t>travaux de réalisation</t>
  </si>
  <si>
    <t>travaux d'études techniques</t>
  </si>
  <si>
    <t>travaux d'études et de conception</t>
  </si>
  <si>
    <t>travaux scientifiques ou techniques hautement spécialisés</t>
  </si>
  <si>
    <t>Taux horaire :</t>
  </si>
  <si>
    <t>Niveau de recrutement :</t>
  </si>
  <si>
    <t>Heures :</t>
  </si>
  <si>
    <t>Suppl. Familial de Traitement</t>
  </si>
  <si>
    <t>Autres indemnités</t>
  </si>
  <si>
    <t>01- Niveau I (CAP)</t>
  </si>
  <si>
    <t>02- Niveau II (BAC)</t>
  </si>
  <si>
    <t>03- Niveau III (BAC +2)</t>
  </si>
  <si>
    <t>04- Niveau IV (BAC +3)</t>
  </si>
  <si>
    <t>05- Niveau V (Doctorat)</t>
  </si>
  <si>
    <t>Coût à ordonnancer</t>
  </si>
  <si>
    <t>Matricule :</t>
  </si>
  <si>
    <t>Brut</t>
  </si>
  <si>
    <t>Fonctionnaire :</t>
  </si>
  <si>
    <t>Acompte</t>
  </si>
  <si>
    <t>Sans acompte</t>
  </si>
  <si>
    <t>Acompte :</t>
  </si>
  <si>
    <t>Ch. Patronales</t>
  </si>
  <si>
    <t>Ch. salariales</t>
  </si>
  <si>
    <t>Financement :</t>
  </si>
  <si>
    <t>Début an</t>
  </si>
  <si>
    <t>Equivalence :</t>
  </si>
  <si>
    <t>Fin de mois de la fin du contrat :</t>
  </si>
  <si>
    <t>Signature</t>
  </si>
  <si>
    <t>Indemnité résidence</t>
  </si>
  <si>
    <t>Paris</t>
  </si>
  <si>
    <t>Taux Indemnité résidence 1</t>
  </si>
  <si>
    <t>Taux Indemnité résidence 2</t>
  </si>
  <si>
    <t>Taux Indemnité résidence 3</t>
  </si>
  <si>
    <t>si &lt; 1 an</t>
  </si>
  <si>
    <t>RSA</t>
  </si>
  <si>
    <t>M</t>
  </si>
  <si>
    <t>A</t>
  </si>
  <si>
    <t>H</t>
  </si>
  <si>
    <t>Type Coupon</t>
  </si>
  <si>
    <t>Deptab</t>
  </si>
  <si>
    <t>Hors Alsace-Moselle</t>
  </si>
  <si>
    <t>Alsace-Moselle</t>
  </si>
  <si>
    <t>Durée (M):</t>
  </si>
  <si>
    <t>&gt;= 20 ans d'expérience</t>
  </si>
  <si>
    <t>&gt;= 15 et &lt; 20 ans d'expérience</t>
  </si>
  <si>
    <t>&gt;= 10 et &lt; 15 ans d'expérience</t>
  </si>
  <si>
    <t>&gt;= 7 et &lt; 10 ans d'expérience</t>
  </si>
  <si>
    <t>&gt;= 2 et &lt; 7 ans d'expérience</t>
  </si>
  <si>
    <t>&lt; 2 ans d'expérience</t>
  </si>
  <si>
    <t>38- Doctorant</t>
  </si>
  <si>
    <t>39- Doctorant multi-activités</t>
  </si>
  <si>
    <t>Expérience</t>
  </si>
  <si>
    <t>Montant min</t>
  </si>
  <si>
    <t>Montant max</t>
  </si>
  <si>
    <t>Montant :</t>
  </si>
  <si>
    <t>Rémunération forfaitaire mensuelle</t>
  </si>
  <si>
    <t>Rémunération mensuelle</t>
  </si>
  <si>
    <t>&gt;= 5 et &lt; 10 ans d'expérience</t>
  </si>
  <si>
    <t>&gt;= 3 et &lt; 5 ans d'expérience</t>
  </si>
  <si>
    <t>&lt; 3 ans d'expérience</t>
  </si>
  <si>
    <t>Détail taxe sur les salaires</t>
  </si>
  <si>
    <t>Assiette</t>
  </si>
  <si>
    <t>CALCUL TAXE SALAIRE</t>
  </si>
  <si>
    <t>Tranche 1</t>
  </si>
  <si>
    <t>Tranche 2</t>
  </si>
  <si>
    <t>Tranche 3</t>
  </si>
  <si>
    <t>ANR</t>
  </si>
  <si>
    <t>Subv. d'Etat</t>
  </si>
  <si>
    <t>Fin an</t>
  </si>
  <si>
    <t>Total</t>
  </si>
  <si>
    <t>Versement Mobilité</t>
  </si>
  <si>
    <t>Simulation du coût de l'indemnité de départ d'un CDD (à partir du 01/01/2021)</t>
  </si>
  <si>
    <t>Date d'effet</t>
  </si>
  <si>
    <t>Objets</t>
  </si>
  <si>
    <t>(prime de départ)</t>
  </si>
  <si>
    <t>(hors PPE)</t>
  </si>
  <si>
    <t xml:space="preserve">TOTAL COÛT SUR LE CONTRAT </t>
  </si>
  <si>
    <t>Indemnité de fin de contrat</t>
  </si>
  <si>
    <t>Indeminté de fin de contrat</t>
  </si>
  <si>
    <t>Remboursement transport  quotité &gt;= 50%</t>
  </si>
  <si>
    <t>Remboursement transport  quotité &lt; 50%</t>
  </si>
  <si>
    <t>Versement mobilité</t>
  </si>
  <si>
    <t>Remboursement transport</t>
  </si>
  <si>
    <t>NON</t>
  </si>
  <si>
    <r>
      <t>1 -</t>
    </r>
    <r>
      <rPr>
        <sz val="7"/>
        <rFont val="Arial Narrow"/>
        <family val="2"/>
      </rPr>
      <t xml:space="preserve">     </t>
    </r>
    <r>
      <rPr>
        <sz val="12"/>
        <rFont val="Arial Narrow"/>
        <family val="2"/>
      </rPr>
      <t>Dans la cellule B6 (</t>
    </r>
    <r>
      <rPr>
        <b/>
        <sz val="12"/>
        <rFont val="Arial Narrow"/>
        <family val="2"/>
      </rPr>
      <t>Recrutement du :</t>
    </r>
    <r>
      <rPr>
        <sz val="12"/>
        <rFont val="Arial Narrow"/>
        <family val="2"/>
      </rPr>
      <t xml:space="preserve">) saisir la date du début du contrat, et dans la cellule D6 la date du fin du contrat, </t>
    </r>
  </si>
  <si>
    <r>
      <t>2 -</t>
    </r>
    <r>
      <rPr>
        <sz val="7"/>
        <rFont val="Arial Narrow"/>
        <family val="2"/>
      </rPr>
      <t xml:space="preserve">     </t>
    </r>
    <r>
      <rPr>
        <sz val="12"/>
        <rFont val="Arial Narrow"/>
        <family val="2"/>
      </rPr>
      <t>Cliquez dans la cellule B8 (</t>
    </r>
    <r>
      <rPr>
        <b/>
        <sz val="12"/>
        <rFont val="Arial Narrow"/>
        <family val="2"/>
      </rPr>
      <t>Niveau de recrutement :</t>
    </r>
    <r>
      <rPr>
        <sz val="12"/>
        <rFont val="Arial Narrow"/>
        <family val="2"/>
      </rPr>
      <t>), et dans la liste déroulante choisir le niveau d’expérience, l’</t>
    </r>
    <r>
      <rPr>
        <b/>
        <sz val="12"/>
        <rFont val="Arial Narrow"/>
        <family val="2"/>
      </rPr>
      <t>Indice</t>
    </r>
    <r>
      <rPr>
        <sz val="12"/>
        <rFont val="Arial Narrow"/>
        <family val="2"/>
      </rPr>
      <t xml:space="preserve"> va s'afficher dans la cellule F8.</t>
    </r>
  </si>
  <si>
    <r>
      <t>3 -</t>
    </r>
    <r>
      <rPr>
        <sz val="7"/>
        <rFont val="Arial Narrow"/>
        <family val="2"/>
      </rPr>
      <t xml:space="preserve">     </t>
    </r>
    <r>
      <rPr>
        <sz val="12"/>
        <rFont val="Arial Narrow"/>
        <family val="2"/>
      </rPr>
      <t xml:space="preserve"> Cliquez dans la cellule B12 (</t>
    </r>
    <r>
      <rPr>
        <b/>
        <sz val="12"/>
        <rFont val="Arial Narrow"/>
        <family val="2"/>
      </rPr>
      <t>Rés. Administrative :</t>
    </r>
    <r>
      <rPr>
        <sz val="12"/>
        <rFont val="Arial Narrow"/>
        <family val="2"/>
      </rPr>
      <t xml:space="preserve">), et dans la liste déroulante choisir le département, (attention le 1 pour toute la France, le 2 pour Alsace et Moselle) </t>
    </r>
  </si>
  <si>
    <r>
      <t>4 -</t>
    </r>
    <r>
      <rPr>
        <sz val="7"/>
        <rFont val="Arial Narrow"/>
        <family val="2"/>
      </rPr>
      <t xml:space="preserve">     </t>
    </r>
    <r>
      <rPr>
        <sz val="12"/>
        <rFont val="Arial Narrow"/>
        <family val="2"/>
      </rPr>
      <t>Dans la cellule F12 (</t>
    </r>
    <r>
      <rPr>
        <b/>
        <sz val="12"/>
        <rFont val="Arial Narrow"/>
        <family val="2"/>
      </rPr>
      <t>Dom. Fiscal :</t>
    </r>
    <r>
      <rPr>
        <sz val="12"/>
        <rFont val="Arial Narrow"/>
        <family val="2"/>
      </rPr>
      <t>) éventuellement sélectionner le domaine fiscal concerné.</t>
    </r>
  </si>
  <si>
    <r>
      <t>1 -</t>
    </r>
    <r>
      <rPr>
        <sz val="7"/>
        <rFont val="Arial Narrow"/>
        <family val="2"/>
      </rPr>
      <t xml:space="preserve">     </t>
    </r>
    <r>
      <rPr>
        <sz val="12"/>
        <rFont val="Arial Narrow"/>
        <family val="2"/>
      </rPr>
      <t>Dans la cellule B6 (</t>
    </r>
    <r>
      <rPr>
        <b/>
        <sz val="12"/>
        <rFont val="Arial Narrow"/>
        <family val="2"/>
      </rPr>
      <t>Recrutement du :</t>
    </r>
    <r>
      <rPr>
        <sz val="12"/>
        <rFont val="Arial Narrow"/>
        <family val="2"/>
      </rPr>
      <t xml:space="preserve">) saisir la date du début du contrat, et dans la cellule D6 la date du fin du contrat, la durée du contrat va afficher en nombre de </t>
    </r>
    <r>
      <rPr>
        <b/>
        <sz val="12"/>
        <rFont val="Arial Narrow"/>
        <family val="2"/>
      </rPr>
      <t>mois</t>
    </r>
    <r>
      <rPr>
        <sz val="12"/>
        <rFont val="Arial Narrow"/>
        <family val="2"/>
      </rPr>
      <t xml:space="preserve"> dans la cellule F6.</t>
    </r>
  </si>
  <si>
    <r>
      <t>2 -</t>
    </r>
    <r>
      <rPr>
        <sz val="7"/>
        <rFont val="Arial Narrow"/>
        <family val="2"/>
      </rPr>
      <t xml:space="preserve">     </t>
    </r>
    <r>
      <rPr>
        <sz val="12"/>
        <rFont val="Arial Narrow"/>
        <family val="2"/>
      </rPr>
      <t>Cliquez dans la cellule B8 (</t>
    </r>
    <r>
      <rPr>
        <b/>
        <sz val="12"/>
        <rFont val="Arial Narrow"/>
        <family val="2"/>
      </rPr>
      <t>Niveau de recrutement :</t>
    </r>
    <r>
      <rPr>
        <sz val="12"/>
        <rFont val="Arial Narrow"/>
        <family val="2"/>
      </rPr>
      <t xml:space="preserve">), et dans la liste déroulante choisir le </t>
    </r>
    <r>
      <rPr>
        <b/>
        <sz val="12"/>
        <rFont val="Arial Narrow"/>
        <family val="2"/>
      </rPr>
      <t>niveau</t>
    </r>
    <r>
      <rPr>
        <sz val="12"/>
        <rFont val="Arial Narrow"/>
        <family val="2"/>
      </rPr>
      <t xml:space="preserve">, le </t>
    </r>
    <r>
      <rPr>
        <b/>
        <sz val="12"/>
        <rFont val="Arial Narrow"/>
        <family val="2"/>
      </rPr>
      <t>Taux horaire</t>
    </r>
    <r>
      <rPr>
        <sz val="12"/>
        <rFont val="Arial Narrow"/>
        <family val="2"/>
      </rPr>
      <t xml:space="preserve"> va afficher dans la cellule F8.</t>
    </r>
  </si>
  <si>
    <r>
      <t>3 -</t>
    </r>
    <r>
      <rPr>
        <sz val="7"/>
        <rFont val="Arial Narrow"/>
        <family val="2"/>
      </rPr>
      <t xml:space="preserve">     </t>
    </r>
    <r>
      <rPr>
        <sz val="12"/>
        <rFont val="Arial Narrow"/>
        <family val="2"/>
      </rPr>
      <t>Cliquez dans la cellule B10 (</t>
    </r>
    <r>
      <rPr>
        <b/>
        <sz val="12"/>
        <rFont val="Arial Narrow"/>
        <family val="2"/>
      </rPr>
      <t>Rés. Administrative :</t>
    </r>
    <r>
      <rPr>
        <sz val="12"/>
        <rFont val="Arial Narrow"/>
        <family val="2"/>
      </rPr>
      <t>), et dans la liste déroulante choisissez le département, (attention le 1 pour toute la France, le 2 pour Alsace et Moselle).</t>
    </r>
  </si>
  <si>
    <r>
      <t>4 -</t>
    </r>
    <r>
      <rPr>
        <sz val="7"/>
        <rFont val="Arial Narrow"/>
        <family val="2"/>
      </rPr>
      <t xml:space="preserve">     </t>
    </r>
    <r>
      <rPr>
        <sz val="12"/>
        <rFont val="Arial Narrow"/>
        <family val="2"/>
      </rPr>
      <t>Dans la cellule F10 (</t>
    </r>
    <r>
      <rPr>
        <b/>
        <sz val="12"/>
        <rFont val="Arial Narrow"/>
        <family val="2"/>
      </rPr>
      <t>Dom. Fiscal :</t>
    </r>
    <r>
      <rPr>
        <sz val="12"/>
        <rFont val="Arial Narrow"/>
        <family val="2"/>
      </rPr>
      <t>) éventuellement sélectionnez le domaine fiscal concerné.</t>
    </r>
  </si>
  <si>
    <r>
      <t>5 -</t>
    </r>
    <r>
      <rPr>
        <sz val="7"/>
        <rFont val="Arial Narrow"/>
        <family val="2"/>
      </rPr>
      <t xml:space="preserve">     </t>
    </r>
    <r>
      <rPr>
        <sz val="12"/>
        <rFont val="Arial Narrow"/>
        <family val="2"/>
      </rPr>
      <t>Saisir les nombres d’heures exactes dans la cellule B12 (</t>
    </r>
    <r>
      <rPr>
        <b/>
        <sz val="12"/>
        <rFont val="Arial Narrow"/>
        <family val="2"/>
      </rPr>
      <t>Heures :</t>
    </r>
    <r>
      <rPr>
        <sz val="12"/>
        <rFont val="Arial Narrow"/>
        <family val="2"/>
      </rPr>
      <t xml:space="preserve">), (attention les nombres d’heures mensuelles ne doivent pas dépasser </t>
    </r>
    <r>
      <rPr>
        <b/>
        <sz val="12"/>
        <rFont val="Arial Narrow"/>
        <family val="2"/>
      </rPr>
      <t>120 heures</t>
    </r>
    <r>
      <rPr>
        <sz val="12"/>
        <rFont val="Arial Narrow"/>
        <family val="2"/>
      </rPr>
      <t>).</t>
    </r>
  </si>
  <si>
    <r>
      <t>6 -</t>
    </r>
    <r>
      <rPr>
        <sz val="7"/>
        <rFont val="Arial Narrow"/>
        <family val="2"/>
      </rPr>
      <t xml:space="preserve">     </t>
    </r>
    <r>
      <rPr>
        <sz val="12"/>
        <rFont val="Arial Narrow"/>
        <family val="2"/>
      </rPr>
      <t>Cliquez dans la cellule F12 (</t>
    </r>
    <r>
      <rPr>
        <b/>
        <sz val="12"/>
        <rFont val="Arial Narrow"/>
        <family val="2"/>
      </rPr>
      <t>Financement :</t>
    </r>
    <r>
      <rPr>
        <sz val="12"/>
        <rFont val="Arial Narrow"/>
        <family val="2"/>
      </rPr>
      <t xml:space="preserve">) et dans la liste déroulante choisissez le </t>
    </r>
    <r>
      <rPr>
        <b/>
        <sz val="12"/>
        <rFont val="Arial Narrow"/>
        <family val="2"/>
      </rPr>
      <t>financement</t>
    </r>
    <r>
      <rPr>
        <sz val="12"/>
        <rFont val="Arial Narrow"/>
        <family val="2"/>
      </rPr>
      <t>.</t>
    </r>
  </si>
  <si>
    <r>
      <t>7 -</t>
    </r>
    <r>
      <rPr>
        <sz val="7"/>
        <rFont val="Arial Narrow"/>
        <family val="2"/>
      </rPr>
      <t xml:space="preserve">     </t>
    </r>
    <r>
      <rPr>
        <sz val="12"/>
        <rFont val="Arial Narrow"/>
        <family val="2"/>
      </rPr>
      <t>Saisir le montant mensuel de l'abonnement de transport dans la cellule C47 (</t>
    </r>
    <r>
      <rPr>
        <b/>
        <sz val="12"/>
        <rFont val="Arial Narrow"/>
        <family val="2"/>
      </rPr>
      <t>Remboursement transport :</t>
    </r>
    <r>
      <rPr>
        <sz val="12"/>
        <rFont val="Arial Narrow"/>
        <family val="2"/>
      </rPr>
      <t>), vérifier la cellule B10 et choisissez le bon département.</t>
    </r>
  </si>
  <si>
    <r>
      <t>8 -</t>
    </r>
    <r>
      <rPr>
        <sz val="7"/>
        <rFont val="Arial Narrow"/>
        <family val="2"/>
      </rPr>
      <t xml:space="preserve">     </t>
    </r>
    <r>
      <rPr>
        <b/>
        <sz val="12"/>
        <rFont val="Arial Narrow"/>
        <family val="2"/>
      </rPr>
      <t>Dans le cas d’une mauvaise manipulation, fermer le fichier sans enregistrer, et recommencer.</t>
    </r>
  </si>
  <si>
    <t>CDD Projet :</t>
  </si>
  <si>
    <t>Coût Indemnité de fin de contrat</t>
  </si>
  <si>
    <t>Taux d'assujettissement de la TVA</t>
  </si>
  <si>
    <t>Double Financement (base 100%)</t>
  </si>
  <si>
    <r>
      <t>5 -</t>
    </r>
    <r>
      <rPr>
        <sz val="7"/>
        <rFont val="Arial Narrow"/>
        <family val="2"/>
      </rPr>
      <t xml:space="preserve">     </t>
    </r>
    <r>
      <rPr>
        <sz val="12"/>
        <rFont val="Arial Narrow"/>
        <family val="2"/>
      </rPr>
      <t>Saisir la Quotité dans la cellule B14 (</t>
    </r>
    <r>
      <rPr>
        <b/>
        <sz val="12"/>
        <rFont val="Arial Narrow"/>
        <family val="2"/>
      </rPr>
      <t>Quotité :</t>
    </r>
    <r>
      <rPr>
        <sz val="12"/>
        <rFont val="Arial Narrow"/>
        <family val="2"/>
      </rPr>
      <t xml:space="preserve">). </t>
    </r>
    <r>
      <rPr>
        <b/>
        <sz val="12"/>
        <rFont val="Arial Narrow"/>
        <family val="2"/>
      </rPr>
      <t>Pour le cas 100%</t>
    </r>
    <r>
      <rPr>
        <sz val="12"/>
        <rFont val="Arial Narrow"/>
        <family val="2"/>
      </rPr>
      <t xml:space="preserve">, indiquer dans la </t>
    </r>
    <r>
      <rPr>
        <b/>
        <sz val="12"/>
        <rFont val="Arial Narrow"/>
        <family val="2"/>
      </rPr>
      <t>cellule F16</t>
    </r>
    <r>
      <rPr>
        <sz val="12"/>
        <rFont val="Arial Narrow"/>
        <family val="2"/>
      </rPr>
      <t xml:space="preserve"> s'il s'agit d'un double finencement (</t>
    </r>
    <r>
      <rPr>
        <b/>
        <sz val="12"/>
        <rFont val="Arial Narrow"/>
        <family val="2"/>
      </rPr>
      <t>Oui/Non</t>
    </r>
    <r>
      <rPr>
        <sz val="12"/>
        <rFont val="Arial Narrow"/>
        <family val="2"/>
      </rPr>
      <t>).</t>
    </r>
  </si>
  <si>
    <r>
      <t xml:space="preserve">                  Si </t>
    </r>
    <r>
      <rPr>
        <b/>
        <sz val="12"/>
        <rFont val="Arial Narrow"/>
        <family val="2"/>
      </rPr>
      <t>Oui</t>
    </r>
    <r>
      <rPr>
        <sz val="12"/>
        <rFont val="Arial Narrow"/>
        <family val="2"/>
      </rPr>
      <t xml:space="preserve">  renseigner en </t>
    </r>
    <r>
      <rPr>
        <b/>
        <sz val="12"/>
        <rFont val="Arial Narrow"/>
        <family val="2"/>
      </rPr>
      <t>C62</t>
    </r>
    <r>
      <rPr>
        <sz val="12"/>
        <rFont val="Arial Narrow"/>
        <family val="2"/>
      </rPr>
      <t xml:space="preserve"> le taux d'un contrat, le calcul de l'autre taux est automatique.</t>
    </r>
  </si>
  <si>
    <t>Assurance chômage</t>
  </si>
  <si>
    <t>Date de référence</t>
  </si>
  <si>
    <t>(mensuel hors indemnité de fin de contrat)</t>
  </si>
  <si>
    <r>
      <t>6 -</t>
    </r>
    <r>
      <rPr>
        <sz val="7"/>
        <rFont val="Arial Narrow"/>
        <family val="2"/>
      </rPr>
      <t xml:space="preserve">     </t>
    </r>
    <r>
      <rPr>
        <sz val="12"/>
        <rFont val="Arial Narrow"/>
        <family val="2"/>
      </rPr>
      <t>Cliquez dans la cellule C21 (</t>
    </r>
    <r>
      <rPr>
        <b/>
        <sz val="12"/>
        <rFont val="Arial Narrow"/>
        <family val="2"/>
      </rPr>
      <t>Indemnité de résidence :</t>
    </r>
    <r>
      <rPr>
        <sz val="12"/>
        <rFont val="Arial Narrow"/>
        <family val="2"/>
      </rPr>
      <t>) et dans la liste déroulante choisir le pourcentage concerné.</t>
    </r>
  </si>
  <si>
    <r>
      <t>7 -</t>
    </r>
    <r>
      <rPr>
        <sz val="7"/>
        <rFont val="Arial Narrow"/>
        <family val="2"/>
      </rPr>
      <t xml:space="preserve">     </t>
    </r>
    <r>
      <rPr>
        <sz val="12"/>
        <rFont val="Arial Narrow"/>
        <family val="2"/>
      </rPr>
      <t>S’il y a une majoration salariale motivée, la saisir la dans la cellule D22.</t>
    </r>
  </si>
  <si>
    <r>
      <t>8 -</t>
    </r>
    <r>
      <rPr>
        <sz val="7"/>
        <rFont val="Arial Narrow"/>
        <family val="2"/>
      </rPr>
      <t xml:space="preserve">    </t>
    </r>
    <r>
      <rPr>
        <sz val="12"/>
        <rFont val="Arial Narrow"/>
        <family val="2"/>
      </rPr>
      <t>Saisir le nombre d’enfants dans la cellule B23 (</t>
    </r>
    <r>
      <rPr>
        <b/>
        <sz val="12"/>
        <rFont val="Arial Narrow"/>
        <family val="2"/>
      </rPr>
      <t>Suppl. Familial de Traitement :</t>
    </r>
    <r>
      <rPr>
        <sz val="12"/>
        <rFont val="Arial Narrow"/>
        <family val="2"/>
      </rPr>
      <t>).</t>
    </r>
  </si>
  <si>
    <r>
      <t>9 -</t>
    </r>
    <r>
      <rPr>
        <sz val="7"/>
        <rFont val="Arial Narrow"/>
        <family val="2"/>
      </rPr>
      <t xml:space="preserve">  </t>
    </r>
    <r>
      <rPr>
        <sz val="12"/>
        <rFont val="Arial Narrow"/>
        <family val="2"/>
      </rPr>
      <t xml:space="preserve"> S’il existe d’</t>
    </r>
    <r>
      <rPr>
        <b/>
        <sz val="12"/>
        <rFont val="Arial Narrow"/>
        <family val="2"/>
      </rPr>
      <t>autres indemnités</t>
    </r>
    <r>
      <rPr>
        <sz val="12"/>
        <rFont val="Arial Narrow"/>
        <family val="2"/>
      </rPr>
      <t>, les saisir les dans la cellule D24, (</t>
    </r>
    <r>
      <rPr>
        <b/>
        <sz val="12"/>
        <rFont val="Arial Narrow"/>
        <family val="2"/>
      </rPr>
      <t>Mobilité, Formation, Voyage, etc.).</t>
    </r>
  </si>
  <si>
    <r>
      <t>10 -</t>
    </r>
    <r>
      <rPr>
        <sz val="7"/>
        <rFont val="Arial Narrow"/>
        <family val="2"/>
      </rPr>
      <t xml:space="preserve">     </t>
    </r>
    <r>
      <rPr>
        <sz val="12"/>
        <rFont val="Arial Narrow"/>
        <family val="2"/>
      </rPr>
      <t>Cliquez dans la cellule F26 (</t>
    </r>
    <r>
      <rPr>
        <b/>
        <sz val="12"/>
        <rFont val="Arial Narrow"/>
        <family val="2"/>
      </rPr>
      <t>CDD Projet :</t>
    </r>
    <r>
      <rPr>
        <sz val="12"/>
        <rFont val="Arial Narrow"/>
        <family val="2"/>
      </rPr>
      <t xml:space="preserve">) et dans la liste déroulante choisir </t>
    </r>
    <r>
      <rPr>
        <b/>
        <sz val="12"/>
        <rFont val="Arial Narrow"/>
        <family val="2"/>
      </rPr>
      <t>Oui/Non</t>
    </r>
    <r>
      <rPr>
        <sz val="12"/>
        <rFont val="Arial Narrow"/>
        <family val="2"/>
      </rPr>
      <t>. Oui à pour effet de supprimer l'indemnité de départ s'il y en avait une.</t>
    </r>
  </si>
  <si>
    <r>
      <t>11 -  Saisir le montant mensuel de l'abonnement de transport dans la cellule C52 (</t>
    </r>
    <r>
      <rPr>
        <b/>
        <sz val="12"/>
        <rFont val="Arial Narrow"/>
        <family val="2"/>
      </rPr>
      <t>Remboursement transport :</t>
    </r>
    <r>
      <rPr>
        <sz val="12"/>
        <rFont val="Arial Narrow"/>
        <family val="2"/>
      </rPr>
      <t>), vérifier la cellule B12 et choisissez le bon département.</t>
    </r>
  </si>
  <si>
    <r>
      <t xml:space="preserve">            12 -  S’il n’y a pas d’acompte cliquer dans la cellule C50, et dans la liste déroulante choisir </t>
    </r>
    <r>
      <rPr>
        <b/>
        <sz val="12"/>
        <rFont val="Arial Narrow"/>
        <family val="2"/>
      </rPr>
      <t>sans acompte</t>
    </r>
    <r>
      <rPr>
        <sz val="12"/>
        <rFont val="Arial Narrow"/>
        <family val="2"/>
      </rPr>
      <t>.</t>
    </r>
  </si>
  <si>
    <r>
      <t>13 -</t>
    </r>
    <r>
      <rPr>
        <sz val="7"/>
        <rFont val="Arial Narrow"/>
        <family val="2"/>
      </rPr>
      <t xml:space="preserve">     </t>
    </r>
    <r>
      <rPr>
        <b/>
        <sz val="12"/>
        <rFont val="Arial Narrow"/>
        <family val="2"/>
      </rPr>
      <t>Dans le cas d’une mauvaise manipulation, fermer le fichier sans enregistrer, et recommencer.</t>
    </r>
  </si>
  <si>
    <t>Types de ressources</t>
  </si>
  <si>
    <t>NIVEAU</t>
  </si>
  <si>
    <t>Indemnité  fonctions support</t>
  </si>
  <si>
    <t>Indemnité fonctions support</t>
  </si>
  <si>
    <r>
      <t xml:space="preserve">Taxe sur les salaires </t>
    </r>
    <r>
      <rPr>
        <sz val="8"/>
        <color indexed="9"/>
        <rFont val="Arial Narrow"/>
        <family val="2"/>
      </rPr>
      <t>(01/01/2025)</t>
    </r>
  </si>
  <si>
    <t>Versement mobilité additionnelle</t>
  </si>
  <si>
    <t>Versement mobilité Régionale et Rurale</t>
  </si>
  <si>
    <t>REMUNERATIONS FORFAITAIRES au 01/01/2026</t>
  </si>
  <si>
    <r>
      <t>TAUX HORAIRES VACATIONS</t>
    </r>
    <r>
      <rPr>
        <b/>
        <sz val="11"/>
        <color indexed="9"/>
        <rFont val="Arial Narrow"/>
        <family val="2"/>
      </rPr>
      <t xml:space="preserve"> </t>
    </r>
    <r>
      <rPr>
        <sz val="9"/>
        <color indexed="9"/>
        <rFont val="Arial Narrow"/>
        <family val="2"/>
      </rPr>
      <t>AU 01/01/2026</t>
    </r>
  </si>
  <si>
    <t>02- Niveau chercheurs &gt;= 15 et &lt; 20 ans d'expérience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</si>
</sst>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#,##0.00\ &quot;€&quot;"/>
    <numFmt numFmtId="166" formatCode="#,##0.00&quot; €&quot;;[Red]\-#,##0.00&quot;€&quot;"/>
    <numFmt numFmtId="167" formatCode="0.000"/>
    <numFmt numFmtId="168" formatCode="#,##0.00\ _€"/>
    <numFmt numFmtId="169" formatCode="0.0"/>
    <numFmt numFmtId="170" formatCode="_-* #,##0\ _€_-;\-* #,##0\ _€_-;_-* &quot;-&quot;??\ _€_-;_-@_-"/>
    <numFmt numFmtId="171" formatCode="d/m/yy;@"/>
    <numFmt numFmtId="172" formatCode="dd/mm/yy;@"/>
    <numFmt numFmtId="173" formatCode="0.00000%"/>
    <numFmt numFmtId="174" formatCode="#,##0.00\ &quot;F&quot;;[Red]\-#,##0.00\ &quot;F&quot;"/>
  </numFmts>
  <fonts count="63">
    <font>
      <sz val="10"/>
      <name val="Arial"/>
    </font>
    <font>
      <sz val="10"/>
      <name val="Arial"/>
      <family val="2"/>
    </font>
    <font>
      <b/>
      <sz val="10"/>
      <name val="Arial Narrow"/>
      <family val="2"/>
    </font>
    <font>
      <sz val="10"/>
      <name val="Arial Narrow"/>
      <family val="2"/>
    </font>
    <font>
      <b/>
      <sz val="10"/>
      <color indexed="9"/>
      <name val="Arial Narrow"/>
      <family val="2"/>
    </font>
    <font>
      <sz val="10"/>
      <color indexed="9"/>
      <name val="Arial Narrow"/>
      <family val="2"/>
    </font>
    <font>
      <u/>
      <sz val="10"/>
      <color indexed="12"/>
      <name val="Arial"/>
      <family val="2"/>
    </font>
    <font>
      <sz val="7"/>
      <name val="Arial"/>
      <family val="2"/>
    </font>
    <font>
      <sz val="9"/>
      <name val="Arial Narrow"/>
      <family val="2"/>
    </font>
    <font>
      <i/>
      <sz val="9"/>
      <color indexed="10"/>
      <name val="Arial"/>
      <family val="2"/>
    </font>
    <font>
      <sz val="10"/>
      <color indexed="18"/>
      <name val="Arial Narrow"/>
      <family val="2"/>
    </font>
    <font>
      <sz val="8"/>
      <name val="Arial"/>
      <family val="2"/>
    </font>
    <font>
      <b/>
      <sz val="14"/>
      <color indexed="56"/>
      <name val="Arial Narrow"/>
      <family val="2"/>
    </font>
    <font>
      <b/>
      <sz val="10"/>
      <color indexed="56"/>
      <name val="Arial Narrow"/>
      <family val="2"/>
    </font>
    <font>
      <sz val="10"/>
      <color indexed="56"/>
      <name val="Arial Narrow"/>
      <family val="2"/>
    </font>
    <font>
      <b/>
      <sz val="10"/>
      <color indexed="48"/>
      <name val="Arial Narrow"/>
      <family val="2"/>
    </font>
    <font>
      <sz val="10"/>
      <color indexed="48"/>
      <name val="Arial Narrow"/>
      <family val="2"/>
    </font>
    <font>
      <b/>
      <sz val="11"/>
      <color indexed="9"/>
      <name val="Arial Narrow"/>
      <family val="2"/>
    </font>
    <font>
      <sz val="8"/>
      <color indexed="9"/>
      <name val="Arial Narrow"/>
      <family val="2"/>
    </font>
    <font>
      <b/>
      <sz val="14"/>
      <color indexed="48"/>
      <name val="Arial Narrow"/>
      <family val="2"/>
    </font>
    <font>
      <b/>
      <sz val="7"/>
      <color indexed="63"/>
      <name val="Arial"/>
      <family val="2"/>
    </font>
    <font>
      <b/>
      <sz val="16"/>
      <color indexed="9"/>
      <name val="Arial Narrow"/>
      <family val="2"/>
    </font>
    <font>
      <b/>
      <sz val="10"/>
      <color indexed="62"/>
      <name val="Arial Narrow"/>
      <family val="2"/>
    </font>
    <font>
      <sz val="12"/>
      <name val="Arial Narrow"/>
      <family val="2"/>
    </font>
    <font>
      <sz val="7"/>
      <name val="Arial Narrow"/>
      <family val="2"/>
    </font>
    <font>
      <b/>
      <sz val="12"/>
      <name val="Arial Narrow"/>
      <family val="2"/>
    </font>
    <font>
      <i/>
      <sz val="10"/>
      <name val="Arial Narrow"/>
      <family val="2"/>
    </font>
    <font>
      <b/>
      <i/>
      <sz val="10"/>
      <name val="Arial Narrow"/>
      <family val="2"/>
    </font>
    <font>
      <b/>
      <sz val="8"/>
      <color indexed="53"/>
      <name val="Tahoma"/>
      <family val="2"/>
    </font>
    <font>
      <sz val="8"/>
      <color indexed="18"/>
      <name val="Tahoma"/>
      <family val="2"/>
    </font>
    <font>
      <b/>
      <sz val="8"/>
      <color indexed="12"/>
      <name val="Tahoma"/>
      <family val="2"/>
    </font>
    <font>
      <sz val="8"/>
      <color indexed="12"/>
      <name val="Tahoma"/>
      <family val="2"/>
    </font>
    <font>
      <b/>
      <sz val="8"/>
      <color indexed="18"/>
      <name val="Tahoma"/>
      <family val="2"/>
    </font>
    <font>
      <b/>
      <sz val="7"/>
      <color indexed="18"/>
      <name val="Tahoma"/>
      <family val="2"/>
    </font>
    <font>
      <b/>
      <i/>
      <sz val="7"/>
      <color indexed="18"/>
      <name val="Tahoma"/>
      <family val="2"/>
    </font>
    <font>
      <b/>
      <sz val="10"/>
      <color indexed="10"/>
      <name val="Arial Narrow"/>
      <family val="2"/>
    </font>
    <font>
      <sz val="9"/>
      <color indexed="53"/>
      <name val="Arial Narrow"/>
      <family val="2"/>
    </font>
    <font>
      <sz val="8"/>
      <color indexed="81"/>
      <name val="Tahoma"/>
      <family val="2"/>
    </font>
    <font>
      <b/>
      <sz val="9"/>
      <name val="Arial Narrow"/>
      <family val="2"/>
    </font>
    <font>
      <b/>
      <sz val="8"/>
      <color indexed="81"/>
      <name val="Tahoma"/>
      <family val="2"/>
    </font>
    <font>
      <b/>
      <sz val="8"/>
      <color indexed="10"/>
      <name val="Tahoma"/>
      <family val="2"/>
    </font>
    <font>
      <sz val="8"/>
      <color indexed="10"/>
      <name val="Tahoma"/>
      <family val="2"/>
    </font>
    <font>
      <sz val="10"/>
      <name val="Geneva"/>
    </font>
    <font>
      <sz val="10"/>
      <name val="Arial"/>
      <family val="2"/>
    </font>
    <font>
      <sz val="10"/>
      <color indexed="12"/>
      <name val="Geneva"/>
    </font>
    <font>
      <sz val="10"/>
      <color indexed="12"/>
      <name val="Arial"/>
      <family val="2"/>
    </font>
    <font>
      <sz val="8"/>
      <color indexed="12"/>
      <name val="Arial"/>
      <family val="2"/>
    </font>
    <font>
      <sz val="8"/>
      <color indexed="12"/>
      <name val="Geneva"/>
    </font>
    <font>
      <sz val="6"/>
      <color indexed="12"/>
      <name val="Arial"/>
      <family val="2"/>
    </font>
    <font>
      <b/>
      <sz val="8"/>
      <color indexed="12"/>
      <name val="Arial"/>
      <family val="2"/>
    </font>
    <font>
      <b/>
      <sz val="8"/>
      <color indexed="12"/>
      <name val="Geneva"/>
    </font>
    <font>
      <b/>
      <sz val="10"/>
      <color indexed="12"/>
      <name val="Arial"/>
      <family val="2"/>
    </font>
    <font>
      <b/>
      <sz val="12"/>
      <color indexed="56"/>
      <name val="Arial Narrow"/>
      <family val="2"/>
    </font>
    <font>
      <b/>
      <sz val="9"/>
      <color indexed="18"/>
      <name val="Tahoma"/>
      <family val="2"/>
    </font>
    <font>
      <b/>
      <sz val="9"/>
      <color indexed="81"/>
      <name val="Tahoma"/>
      <family val="2"/>
    </font>
    <font>
      <sz val="9"/>
      <color indexed="9"/>
      <name val="Arial Narrow"/>
      <family val="2"/>
    </font>
    <font>
      <sz val="10"/>
      <color theme="0"/>
      <name val="Arial Narrow"/>
      <family val="2"/>
    </font>
    <font>
      <sz val="10"/>
      <color theme="0" tint="-0.249977111117893"/>
      <name val="Arial Narrow"/>
      <family val="2"/>
    </font>
    <font>
      <sz val="10"/>
      <color theme="1"/>
      <name val="Arial Narrow"/>
      <family val="2"/>
    </font>
    <font>
      <sz val="10"/>
      <color rgb="FFFF0000"/>
      <name val="Arial Narrow"/>
      <family val="2"/>
    </font>
    <font>
      <b/>
      <sz val="10"/>
      <color rgb="FFFF0000"/>
      <name val="Arial Narrow"/>
      <family val="2"/>
    </font>
    <font>
      <b/>
      <sz val="10"/>
      <color theme="0"/>
      <name val="Arial Narrow"/>
      <family val="2"/>
    </font>
    <font>
      <sz val="9"/>
      <color indexed="81"/>
      <name val="Tahoma"/>
      <family val="2"/>
    </font>
  </fonts>
  <fills count="10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56"/>
        <bgColor indexed="64"/>
      </patternFill>
    </fill>
    <fill>
      <patternFill patternType="mediumGray">
        <fgColor indexed="48"/>
        <bgColor indexed="23"/>
      </patternFill>
    </fill>
    <fill>
      <patternFill patternType="solid">
        <fgColor theme="0" tint="-0.249977111117893"/>
        <bgColor indexed="64"/>
      </patternFill>
    </fill>
  </fills>
  <borders count="13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55"/>
      </right>
      <top/>
      <bottom/>
      <diagonal/>
    </border>
    <border>
      <left style="thin">
        <color indexed="64"/>
      </left>
      <right style="thin">
        <color indexed="55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/>
      <bottom/>
      <diagonal/>
    </border>
    <border>
      <left style="thin">
        <color indexed="64"/>
      </left>
      <right style="thin">
        <color indexed="23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thin">
        <color indexed="55"/>
      </right>
      <top style="thin">
        <color indexed="22"/>
      </top>
      <bottom style="thin">
        <color indexed="22"/>
      </bottom>
      <diagonal/>
    </border>
    <border>
      <left style="thin">
        <color indexed="55"/>
      </left>
      <right style="thin">
        <color indexed="55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thin">
        <color indexed="55"/>
      </right>
      <top style="thin">
        <color indexed="22"/>
      </top>
      <bottom style="medium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22"/>
      </top>
      <bottom style="medium">
        <color indexed="64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medium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medium">
        <color indexed="64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medium">
        <color indexed="64"/>
      </left>
      <right style="thin">
        <color indexed="55"/>
      </right>
      <top/>
      <bottom style="thin">
        <color indexed="55"/>
      </bottom>
      <diagonal/>
    </border>
    <border>
      <left style="thin">
        <color indexed="64"/>
      </left>
      <right style="thin">
        <color indexed="23"/>
      </right>
      <top style="double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double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55"/>
      </left>
      <right style="thin">
        <color indexed="55"/>
      </right>
      <top/>
      <bottom/>
      <diagonal/>
    </border>
    <border>
      <left style="thin">
        <color indexed="55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indexed="23"/>
      </left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/>
      <top style="double">
        <color indexed="64"/>
      </top>
      <bottom style="thin">
        <color indexed="64"/>
      </bottom>
      <diagonal/>
    </border>
    <border>
      <left style="thin">
        <color indexed="23"/>
      </left>
      <right/>
      <top style="thin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/>
      <bottom style="thin">
        <color indexed="55"/>
      </bottom>
      <diagonal/>
    </border>
    <border>
      <left style="medium">
        <color indexed="64"/>
      </left>
      <right style="thin">
        <color indexed="55"/>
      </right>
      <top style="thin">
        <color indexed="55"/>
      </top>
      <bottom style="medium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medium">
        <color indexed="64"/>
      </bottom>
      <diagonal/>
    </border>
    <border>
      <left style="thin">
        <color indexed="55"/>
      </left>
      <right/>
      <top style="thin">
        <color indexed="55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55"/>
      </bottom>
      <diagonal/>
    </border>
    <border>
      <left/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55"/>
      </right>
      <top style="thin">
        <color indexed="64"/>
      </top>
      <bottom/>
      <diagonal/>
    </border>
    <border>
      <left style="thin">
        <color indexed="55"/>
      </left>
      <right style="thin">
        <color indexed="55"/>
      </right>
      <top style="thin">
        <color indexed="64"/>
      </top>
      <bottom/>
      <diagonal/>
    </border>
    <border>
      <left style="thin">
        <color indexed="55"/>
      </left>
      <right style="thin">
        <color indexed="64"/>
      </right>
      <top style="thin">
        <color indexed="64"/>
      </top>
      <bottom/>
      <diagonal/>
    </border>
    <border>
      <left style="thin">
        <color indexed="55"/>
      </left>
      <right style="thin">
        <color indexed="55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23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23"/>
      </bottom>
      <diagonal/>
    </border>
    <border>
      <left style="medium">
        <color indexed="56"/>
      </left>
      <right style="medium">
        <color indexed="56"/>
      </right>
      <top style="medium">
        <color indexed="56"/>
      </top>
      <bottom style="medium">
        <color indexed="56"/>
      </bottom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23"/>
      </bottom>
      <diagonal/>
    </border>
    <border>
      <left style="thin">
        <color indexed="64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/>
      <right style="thin">
        <color indexed="55"/>
      </right>
      <top style="thin">
        <color indexed="23"/>
      </top>
      <bottom/>
      <diagonal/>
    </border>
    <border>
      <left style="thin">
        <color indexed="55"/>
      </left>
      <right/>
      <top/>
      <bottom/>
      <diagonal/>
    </border>
    <border>
      <left/>
      <right style="thin">
        <color indexed="55"/>
      </right>
      <top/>
      <bottom/>
      <diagonal/>
    </border>
    <border>
      <left/>
      <right style="thin">
        <color indexed="55"/>
      </right>
      <top/>
      <bottom style="thin">
        <color indexed="23"/>
      </bottom>
      <diagonal/>
    </border>
    <border>
      <left style="thin">
        <color indexed="55"/>
      </left>
      <right style="thin">
        <color indexed="55"/>
      </right>
      <top/>
      <bottom style="thin">
        <color indexed="23"/>
      </bottom>
      <diagonal/>
    </border>
    <border>
      <left style="thin">
        <color indexed="55"/>
      </left>
      <right/>
      <top/>
      <bottom style="thin">
        <color indexed="23"/>
      </bottom>
      <diagonal/>
    </border>
    <border>
      <left style="medium">
        <color indexed="48"/>
      </left>
      <right style="medium">
        <color indexed="48"/>
      </right>
      <top style="medium">
        <color indexed="48"/>
      </top>
      <bottom style="medium">
        <color indexed="4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55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5"/>
      </left>
      <right style="medium">
        <color indexed="64"/>
      </right>
      <top style="thin">
        <color indexed="55"/>
      </top>
      <bottom style="thin">
        <color indexed="55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23"/>
      </top>
      <bottom/>
      <diagonal/>
    </border>
    <border>
      <left/>
      <right style="thin">
        <color indexed="23"/>
      </right>
      <top/>
      <bottom style="thin">
        <color indexed="64"/>
      </bottom>
      <diagonal/>
    </border>
    <border>
      <left style="thin">
        <color indexed="55"/>
      </left>
      <right style="medium">
        <color indexed="64"/>
      </right>
      <top style="thin">
        <color indexed="55"/>
      </top>
      <bottom style="medium">
        <color indexed="64"/>
      </bottom>
      <diagonal/>
    </border>
    <border>
      <left style="medium">
        <color indexed="64"/>
      </left>
      <right style="thin">
        <color indexed="55"/>
      </right>
      <top/>
      <bottom style="thin">
        <color indexed="22"/>
      </bottom>
      <diagonal/>
    </border>
    <border>
      <left style="thin">
        <color indexed="55"/>
      </left>
      <right style="thin">
        <color indexed="55"/>
      </right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 style="thin">
        <color indexed="55"/>
      </left>
      <right style="medium">
        <color indexed="64"/>
      </right>
      <top/>
      <bottom style="thin">
        <color indexed="55"/>
      </bottom>
      <diagonal/>
    </border>
    <border>
      <left/>
      <right/>
      <top/>
      <bottom style="thin">
        <color indexed="23"/>
      </bottom>
      <diagonal/>
    </border>
    <border>
      <left style="thin">
        <color indexed="64"/>
      </left>
      <right style="thin">
        <color indexed="23"/>
      </right>
      <top/>
      <bottom style="thin">
        <color indexed="23"/>
      </bottom>
      <diagonal/>
    </border>
    <border>
      <left/>
      <right style="thin">
        <color indexed="55"/>
      </right>
      <top style="thin">
        <color indexed="64"/>
      </top>
      <bottom/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indexed="55"/>
      </right>
      <top style="thin">
        <color rgb="FF969696"/>
      </top>
      <bottom style="thin">
        <color rgb="FF969696"/>
      </bottom>
      <diagonal/>
    </border>
    <border>
      <left style="thin">
        <color indexed="55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indexed="55"/>
      </right>
      <top style="thin">
        <color rgb="FF969696"/>
      </top>
      <bottom/>
      <diagonal/>
    </border>
    <border>
      <left style="thin">
        <color rgb="FF969696"/>
      </left>
      <right style="thin">
        <color indexed="55"/>
      </right>
      <top/>
      <bottom style="thin">
        <color rgb="FF969696"/>
      </bottom>
      <diagonal/>
    </border>
    <border>
      <left style="thin">
        <color indexed="55"/>
      </left>
      <right style="thin">
        <color indexed="55"/>
      </right>
      <top/>
      <bottom style="thin">
        <color rgb="FF969696"/>
      </bottom>
      <diagonal/>
    </border>
    <border>
      <left style="thin">
        <color indexed="55"/>
      </left>
      <right style="thin">
        <color rgb="FF969696"/>
      </right>
      <top/>
      <bottom style="thin">
        <color rgb="FF969696"/>
      </bottom>
      <diagonal/>
    </border>
    <border>
      <left style="thin">
        <color indexed="23"/>
      </left>
      <right style="thin">
        <color rgb="FF969696"/>
      </right>
      <top style="thin">
        <color rgb="FF969696"/>
      </top>
      <bottom style="thin">
        <color indexed="23"/>
      </bottom>
      <diagonal/>
    </border>
    <border>
      <left style="thin">
        <color indexed="55"/>
      </left>
      <right style="thin">
        <color rgb="FF969696"/>
      </right>
      <top/>
      <bottom/>
      <diagonal/>
    </border>
    <border>
      <left style="thin">
        <color rgb="FF969696"/>
      </left>
      <right style="thin">
        <color indexed="55"/>
      </right>
      <top/>
      <bottom/>
      <diagonal/>
    </border>
    <border>
      <left/>
      <right/>
      <top/>
      <bottom style="thin">
        <color rgb="FF969696"/>
      </bottom>
      <diagonal/>
    </border>
    <border>
      <left style="thin">
        <color rgb="FF969696"/>
      </left>
      <right/>
      <top style="thin">
        <color indexed="64"/>
      </top>
      <bottom/>
      <diagonal/>
    </border>
    <border>
      <left style="thin">
        <color rgb="FF969696"/>
      </left>
      <right style="thin">
        <color rgb="FF969696"/>
      </right>
      <top/>
      <bottom style="thin">
        <color rgb="FF969696"/>
      </bottom>
      <diagonal/>
    </border>
    <border>
      <left/>
      <right style="thin">
        <color rgb="FF969696"/>
      </right>
      <top/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/>
      <diagonal/>
    </border>
    <border>
      <left style="thin">
        <color rgb="FF969696"/>
      </left>
      <right style="thin">
        <color rgb="FF969696"/>
      </right>
      <top/>
      <bottom/>
      <diagonal/>
    </border>
    <border>
      <left style="thin">
        <color indexed="23"/>
      </left>
      <right/>
      <top style="thin">
        <color rgb="FF969696"/>
      </top>
      <bottom/>
      <diagonal/>
    </border>
    <border>
      <left style="thin">
        <color indexed="64"/>
      </left>
      <right style="thin">
        <color rgb="FF969696"/>
      </right>
      <top style="thin">
        <color rgb="FF969696"/>
      </top>
      <bottom style="thin">
        <color indexed="64"/>
      </bottom>
      <diagonal/>
    </border>
    <border>
      <left style="thin">
        <color rgb="FF969696"/>
      </left>
      <right style="thin">
        <color indexed="55"/>
      </right>
      <top style="thin">
        <color indexed="23"/>
      </top>
      <bottom style="thin">
        <color rgb="FF969696"/>
      </bottom>
      <diagonal/>
    </border>
    <border>
      <left style="thin">
        <color indexed="55"/>
      </left>
      <right style="medium">
        <color theme="1"/>
      </right>
      <top style="thin">
        <color indexed="64"/>
      </top>
      <bottom style="thin">
        <color indexed="55"/>
      </bottom>
      <diagonal/>
    </border>
    <border>
      <left style="thin">
        <color indexed="55"/>
      </left>
      <right style="medium">
        <color theme="1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medium">
        <color theme="1"/>
      </right>
      <top/>
      <bottom style="thin">
        <color indexed="55"/>
      </bottom>
      <diagonal/>
    </border>
    <border>
      <left style="thin">
        <color indexed="55"/>
      </left>
      <right style="medium">
        <color theme="1"/>
      </right>
      <top style="thin">
        <color indexed="55"/>
      </top>
      <bottom style="medium">
        <color indexed="64"/>
      </bottom>
      <diagonal/>
    </border>
    <border>
      <left style="thin">
        <color rgb="FF969696"/>
      </left>
      <right style="thin">
        <color rgb="FF969696"/>
      </right>
      <top/>
      <bottom style="thin">
        <color indexed="23"/>
      </bottom>
      <diagonal/>
    </border>
    <border>
      <left style="thin">
        <color rgb="FF969696"/>
      </left>
      <right/>
      <top style="thin">
        <color rgb="FF969696"/>
      </top>
      <bottom style="thin">
        <color rgb="FF969696"/>
      </bottom>
      <diagonal/>
    </border>
    <border>
      <left/>
      <right/>
      <top style="thin">
        <color rgb="FF969696"/>
      </top>
      <bottom style="thin">
        <color rgb="FF969696"/>
      </bottom>
      <diagonal/>
    </border>
    <border>
      <left/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/>
      <top style="thin">
        <color indexed="64"/>
      </top>
      <bottom style="thin">
        <color rgb="FF969696"/>
      </bottom>
      <diagonal/>
    </border>
    <border>
      <left/>
      <right/>
      <top style="thin">
        <color indexed="64"/>
      </top>
      <bottom style="thin">
        <color rgb="FF969696"/>
      </bottom>
      <diagonal/>
    </border>
  </borders>
  <cellStyleXfs count="9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74" fontId="42" fillId="0" borderId="0" applyFont="0" applyFill="0" applyBorder="0" applyAlignment="0" applyProtection="0"/>
    <xf numFmtId="0" fontId="42" fillId="0" borderId="0"/>
    <xf numFmtId="0" fontId="43" fillId="0" borderId="0"/>
    <xf numFmtId="9" fontId="1" fillId="0" borderId="0" applyFont="0" applyFill="0" applyBorder="0" applyAlignment="0" applyProtection="0"/>
    <xf numFmtId="9" fontId="42" fillId="0" borderId="0" applyFont="0" applyFill="0" applyBorder="0" applyAlignment="0" applyProtection="0"/>
  </cellStyleXfs>
  <cellXfs count="498">
    <xf numFmtId="0" fontId="0" fillId="0" borderId="0" xfId="0"/>
    <xf numFmtId="0" fontId="3" fillId="0" borderId="0" xfId="0" applyFont="1" applyAlignment="1" applyProtection="1">
      <alignment vertical="center"/>
      <protection hidden="1"/>
    </xf>
    <xf numFmtId="0" fontId="3" fillId="0" borderId="0" xfId="0" applyFont="1" applyAlignment="1" applyProtection="1">
      <alignment horizontal="left" vertical="center"/>
      <protection hidden="1"/>
    </xf>
    <xf numFmtId="3" fontId="3" fillId="0" borderId="0" xfId="0" applyNumberFormat="1" applyFont="1" applyFill="1" applyBorder="1" applyAlignment="1" applyProtection="1">
      <alignment horizontal="center" vertical="center"/>
      <protection hidden="1"/>
    </xf>
    <xf numFmtId="0" fontId="3" fillId="0" borderId="0" xfId="0" applyFont="1" applyBorder="1" applyAlignment="1" applyProtection="1">
      <alignment vertical="center"/>
      <protection hidden="1"/>
    </xf>
    <xf numFmtId="3" fontId="3" fillId="0" borderId="0" xfId="0" applyNumberFormat="1" applyFont="1" applyFill="1" applyAlignment="1" applyProtection="1">
      <alignment horizontal="center" vertical="center"/>
      <protection hidden="1"/>
    </xf>
    <xf numFmtId="0" fontId="3" fillId="0" borderId="2" xfId="0" applyFont="1" applyBorder="1" applyAlignment="1" applyProtection="1">
      <alignment vertical="center"/>
      <protection hidden="1"/>
    </xf>
    <xf numFmtId="0" fontId="3" fillId="0" borderId="3" xfId="0" applyFont="1" applyBorder="1" applyAlignment="1" applyProtection="1">
      <alignment vertical="center"/>
      <protection hidden="1"/>
    </xf>
    <xf numFmtId="0" fontId="3" fillId="0" borderId="4" xfId="0" applyFont="1" applyBorder="1" applyAlignment="1" applyProtection="1">
      <alignment vertical="center"/>
      <protection hidden="1"/>
    </xf>
    <xf numFmtId="0" fontId="3" fillId="0" borderId="3" xfId="0" applyFont="1" applyFill="1" applyBorder="1" applyAlignment="1" applyProtection="1">
      <alignment vertical="center"/>
      <protection hidden="1"/>
    </xf>
    <xf numFmtId="0" fontId="3" fillId="0" borderId="5" xfId="0" applyFont="1" applyBorder="1" applyAlignment="1" applyProtection="1">
      <alignment vertical="center"/>
      <protection hidden="1"/>
    </xf>
    <xf numFmtId="0" fontId="3" fillId="0" borderId="6" xfId="0" applyFont="1" applyBorder="1" applyAlignment="1" applyProtection="1">
      <alignment vertical="center"/>
      <protection hidden="1"/>
    </xf>
    <xf numFmtId="0" fontId="3" fillId="0" borderId="5" xfId="0" applyFont="1" applyFill="1" applyBorder="1" applyAlignment="1" applyProtection="1">
      <alignment horizontal="left" vertical="center"/>
      <protection hidden="1"/>
    </xf>
    <xf numFmtId="0" fontId="3" fillId="0" borderId="7" xfId="0" applyFont="1" applyBorder="1" applyAlignment="1" applyProtection="1">
      <alignment horizontal="center" vertical="center"/>
      <protection hidden="1"/>
    </xf>
    <xf numFmtId="0" fontId="3" fillId="0" borderId="8" xfId="0" applyFont="1" applyFill="1" applyBorder="1" applyAlignment="1" applyProtection="1">
      <alignment vertical="center"/>
      <protection hidden="1"/>
    </xf>
    <xf numFmtId="0" fontId="3" fillId="0" borderId="9" xfId="0" applyFont="1" applyFill="1" applyBorder="1" applyAlignment="1" applyProtection="1">
      <alignment vertical="center"/>
      <protection hidden="1"/>
    </xf>
    <xf numFmtId="0" fontId="3" fillId="0" borderId="10" xfId="0" applyFont="1" applyFill="1" applyBorder="1" applyAlignment="1" applyProtection="1">
      <alignment vertical="center"/>
      <protection hidden="1"/>
    </xf>
    <xf numFmtId="0" fontId="3" fillId="0" borderId="11" xfId="0" applyFont="1" applyBorder="1" applyAlignment="1" applyProtection="1">
      <alignment horizontal="center" vertical="center"/>
      <protection hidden="1"/>
    </xf>
    <xf numFmtId="164" fontId="3" fillId="0" borderId="11" xfId="2" applyFont="1" applyBorder="1" applyAlignment="1" applyProtection="1">
      <alignment horizontal="center" vertical="center"/>
      <protection hidden="1"/>
    </xf>
    <xf numFmtId="0" fontId="3" fillId="0" borderId="12" xfId="0" applyFont="1" applyBorder="1" applyAlignment="1" applyProtection="1">
      <alignment horizontal="center" vertical="center"/>
      <protection hidden="1"/>
    </xf>
    <xf numFmtId="0" fontId="3" fillId="0" borderId="4" xfId="0" applyFont="1" applyBorder="1" applyAlignment="1" applyProtection="1">
      <alignment horizontal="center" vertical="center"/>
      <protection hidden="1"/>
    </xf>
    <xf numFmtId="0" fontId="3" fillId="0" borderId="7" xfId="0" applyFont="1" applyBorder="1" applyAlignment="1" applyProtection="1">
      <alignment vertical="center"/>
      <protection hidden="1"/>
    </xf>
    <xf numFmtId="0" fontId="2" fillId="2" borderId="7" xfId="0" applyFont="1" applyFill="1" applyBorder="1" applyAlignment="1" applyProtection="1">
      <alignment vertical="center" wrapText="1"/>
      <protection hidden="1"/>
    </xf>
    <xf numFmtId="0" fontId="3" fillId="0" borderId="13" xfId="0" applyNumberFormat="1" applyFont="1" applyFill="1" applyBorder="1" applyAlignment="1" applyProtection="1">
      <alignment horizontal="left" vertical="center"/>
      <protection hidden="1"/>
    </xf>
    <xf numFmtId="0" fontId="3" fillId="0" borderId="14" xfId="0" applyNumberFormat="1" applyFont="1" applyFill="1" applyBorder="1" applyAlignment="1" applyProtection="1">
      <alignment horizontal="center" vertical="center"/>
      <protection hidden="1"/>
    </xf>
    <xf numFmtId="0" fontId="3" fillId="0" borderId="15" xfId="0" applyNumberFormat="1" applyFont="1" applyFill="1" applyBorder="1" applyAlignment="1" applyProtection="1">
      <alignment horizontal="left" vertical="center"/>
      <protection hidden="1"/>
    </xf>
    <xf numFmtId="0" fontId="3" fillId="0" borderId="16" xfId="0" applyNumberFormat="1" applyFont="1" applyFill="1" applyBorder="1" applyAlignment="1" applyProtection="1">
      <alignment horizontal="center" vertical="center"/>
      <protection hidden="1"/>
    </xf>
    <xf numFmtId="0" fontId="8" fillId="0" borderId="17" xfId="0" applyNumberFormat="1" applyFont="1" applyFill="1" applyBorder="1" applyAlignment="1" applyProtection="1">
      <alignment horizontal="left" vertical="center" wrapText="1"/>
      <protection hidden="1"/>
    </xf>
    <xf numFmtId="0" fontId="8" fillId="0" borderId="18" xfId="0" applyNumberFormat="1" applyFont="1" applyFill="1" applyBorder="1" applyAlignment="1" applyProtection="1">
      <alignment horizontal="left" vertical="center" wrapText="1"/>
      <protection hidden="1"/>
    </xf>
    <xf numFmtId="0" fontId="2" fillId="2" borderId="7" xfId="0" applyFont="1" applyFill="1" applyBorder="1" applyAlignment="1" applyProtection="1">
      <alignment horizontal="center" vertical="center" wrapText="1"/>
      <protection hidden="1"/>
    </xf>
    <xf numFmtId="0" fontId="8" fillId="0" borderId="19" xfId="0" applyNumberFormat="1" applyFont="1" applyFill="1" applyBorder="1" applyAlignment="1" applyProtection="1">
      <alignment horizontal="center" vertical="center"/>
      <protection hidden="1"/>
    </xf>
    <xf numFmtId="0" fontId="8" fillId="0" borderId="19" xfId="0" applyNumberFormat="1" applyFont="1" applyFill="1" applyBorder="1" applyAlignment="1" applyProtection="1">
      <alignment horizontal="left" vertical="center"/>
      <protection hidden="1"/>
    </xf>
    <xf numFmtId="0" fontId="8" fillId="3" borderId="20" xfId="0" applyNumberFormat="1" applyFont="1" applyFill="1" applyBorder="1" applyAlignment="1" applyProtection="1">
      <alignment horizontal="left" vertical="center"/>
      <protection hidden="1"/>
    </xf>
    <xf numFmtId="0" fontId="8" fillId="0" borderId="20" xfId="0" applyNumberFormat="1" applyFont="1" applyFill="1" applyBorder="1" applyAlignment="1" applyProtection="1">
      <alignment horizontal="left" vertical="center"/>
      <protection hidden="1"/>
    </xf>
    <xf numFmtId="0" fontId="8" fillId="0" borderId="21" xfId="0" applyNumberFormat="1" applyFont="1" applyFill="1" applyBorder="1" applyAlignment="1" applyProtection="1">
      <alignment horizontal="left" vertical="center"/>
      <protection hidden="1"/>
    </xf>
    <xf numFmtId="0" fontId="15" fillId="4" borderId="22" xfId="0" applyFont="1" applyFill="1" applyBorder="1" applyAlignment="1" applyProtection="1">
      <alignment vertical="center"/>
      <protection hidden="1"/>
    </xf>
    <xf numFmtId="0" fontId="15" fillId="4" borderId="23" xfId="0" applyFont="1" applyFill="1" applyBorder="1" applyAlignment="1" applyProtection="1">
      <alignment horizontal="center" vertical="center"/>
      <protection hidden="1"/>
    </xf>
    <xf numFmtId="0" fontId="15" fillId="4" borderId="24" xfId="0" applyFont="1" applyFill="1" applyBorder="1" applyAlignment="1" applyProtection="1">
      <alignment horizontal="center" vertical="center"/>
      <protection hidden="1"/>
    </xf>
    <xf numFmtId="0" fontId="16" fillId="0" borderId="2" xfId="0" applyFont="1" applyBorder="1" applyAlignment="1" applyProtection="1">
      <alignment horizontal="center" vertical="center"/>
      <protection hidden="1"/>
    </xf>
    <xf numFmtId="0" fontId="3" fillId="3" borderId="25" xfId="0" applyFont="1" applyFill="1" applyBorder="1" applyAlignment="1" applyProtection="1">
      <alignment vertical="center"/>
      <protection hidden="1"/>
    </xf>
    <xf numFmtId="0" fontId="3" fillId="3" borderId="25" xfId="0" applyFont="1" applyFill="1" applyBorder="1" applyAlignment="1" applyProtection="1">
      <alignment horizontal="center" vertical="center"/>
      <protection hidden="1"/>
    </xf>
    <xf numFmtId="14" fontId="3" fillId="3" borderId="26" xfId="0" applyNumberFormat="1" applyFont="1" applyFill="1" applyBorder="1" applyAlignment="1" applyProtection="1">
      <alignment vertical="center"/>
      <protection hidden="1"/>
    </xf>
    <xf numFmtId="166" fontId="3" fillId="3" borderId="25" xfId="0" applyNumberFormat="1" applyFont="1" applyFill="1" applyBorder="1" applyAlignment="1" applyProtection="1">
      <alignment horizontal="right" vertical="center"/>
      <protection hidden="1"/>
    </xf>
    <xf numFmtId="0" fontId="3" fillId="3" borderId="25" xfId="0" applyNumberFormat="1" applyFont="1" applyFill="1" applyBorder="1" applyAlignment="1" applyProtection="1">
      <alignment horizontal="center" vertical="center"/>
      <protection hidden="1"/>
    </xf>
    <xf numFmtId="10" fontId="3" fillId="3" borderId="27" xfId="0" applyNumberFormat="1" applyFont="1" applyFill="1" applyBorder="1" applyAlignment="1" applyProtection="1">
      <alignment vertical="center"/>
      <protection hidden="1"/>
    </xf>
    <xf numFmtId="1" fontId="3" fillId="3" borderId="25" xfId="0" applyNumberFormat="1" applyFont="1" applyFill="1" applyBorder="1" applyAlignment="1" applyProtection="1">
      <alignment horizontal="center" vertical="center"/>
      <protection hidden="1"/>
    </xf>
    <xf numFmtId="10" fontId="3" fillId="3" borderId="28" xfId="0" applyNumberFormat="1" applyFont="1" applyFill="1" applyBorder="1" applyAlignment="1" applyProtection="1">
      <alignment vertical="center"/>
      <protection hidden="1"/>
    </xf>
    <xf numFmtId="0" fontId="3" fillId="3" borderId="29" xfId="0" applyFont="1" applyFill="1" applyBorder="1" applyAlignment="1" applyProtection="1">
      <alignment vertical="center"/>
      <protection hidden="1"/>
    </xf>
    <xf numFmtId="0" fontId="0" fillId="0" borderId="0" xfId="0" applyProtection="1">
      <protection hidden="1"/>
    </xf>
    <xf numFmtId="10" fontId="3" fillId="3" borderId="30" xfId="7" applyNumberFormat="1" applyFont="1" applyFill="1" applyBorder="1" applyAlignment="1" applyProtection="1">
      <alignment horizontal="center" vertical="center"/>
      <protection hidden="1"/>
    </xf>
    <xf numFmtId="164" fontId="3" fillId="3" borderId="30" xfId="2" applyFont="1" applyFill="1" applyBorder="1" applyAlignment="1" applyProtection="1">
      <alignment horizontal="center" vertical="center"/>
      <protection hidden="1"/>
    </xf>
    <xf numFmtId="164" fontId="3" fillId="3" borderId="31" xfId="2" applyFont="1" applyFill="1" applyBorder="1" applyAlignment="1" applyProtection="1">
      <alignment horizontal="center" vertical="center"/>
      <protection hidden="1"/>
    </xf>
    <xf numFmtId="164" fontId="3" fillId="3" borderId="11" xfId="2" applyFont="1" applyFill="1" applyBorder="1" applyAlignment="1" applyProtection="1">
      <alignment vertical="center"/>
      <protection hidden="1"/>
    </xf>
    <xf numFmtId="10" fontId="3" fillId="3" borderId="32" xfId="7" applyNumberFormat="1" applyFont="1" applyFill="1" applyBorder="1" applyAlignment="1" applyProtection="1">
      <alignment horizontal="center" vertical="center"/>
      <protection hidden="1"/>
    </xf>
    <xf numFmtId="164" fontId="3" fillId="3" borderId="32" xfId="2" applyFont="1" applyFill="1" applyBorder="1" applyAlignment="1" applyProtection="1">
      <alignment horizontal="center" vertical="center"/>
      <protection hidden="1"/>
    </xf>
    <xf numFmtId="164" fontId="3" fillId="3" borderId="33" xfId="2" applyFont="1" applyFill="1" applyBorder="1" applyAlignment="1" applyProtection="1">
      <alignment horizontal="center" vertical="center"/>
      <protection hidden="1"/>
    </xf>
    <xf numFmtId="164" fontId="3" fillId="3" borderId="12" xfId="2" applyFont="1" applyFill="1" applyBorder="1" applyAlignment="1" applyProtection="1">
      <alignment vertical="center"/>
      <protection hidden="1"/>
    </xf>
    <xf numFmtId="10" fontId="3" fillId="3" borderId="34" xfId="7" applyNumberFormat="1" applyFont="1" applyFill="1" applyBorder="1" applyAlignment="1" applyProtection="1">
      <alignment horizontal="center" vertical="center"/>
      <protection hidden="1"/>
    </xf>
    <xf numFmtId="164" fontId="3" fillId="3" borderId="4" xfId="2" applyFont="1" applyFill="1" applyBorder="1" applyAlignment="1" applyProtection="1">
      <alignment vertical="center"/>
      <protection hidden="1"/>
    </xf>
    <xf numFmtId="164" fontId="3" fillId="0" borderId="0" xfId="0" applyNumberFormat="1" applyFont="1" applyAlignment="1" applyProtection="1">
      <alignment vertical="center"/>
      <protection hidden="1"/>
    </xf>
    <xf numFmtId="10" fontId="3" fillId="3" borderId="35" xfId="0" applyNumberFormat="1" applyFont="1" applyFill="1" applyBorder="1" applyAlignment="1" applyProtection="1">
      <alignment vertical="center"/>
      <protection hidden="1"/>
    </xf>
    <xf numFmtId="10" fontId="3" fillId="3" borderId="0" xfId="0" applyNumberFormat="1" applyFont="1" applyFill="1" applyBorder="1" applyAlignment="1" applyProtection="1">
      <alignment vertical="center"/>
      <protection hidden="1"/>
    </xf>
    <xf numFmtId="0" fontId="3" fillId="3" borderId="36" xfId="0" applyFont="1" applyFill="1" applyBorder="1" applyAlignment="1" applyProtection="1">
      <alignment vertical="center"/>
      <protection hidden="1"/>
    </xf>
    <xf numFmtId="0" fontId="15" fillId="4" borderId="37" xfId="0" applyFont="1" applyFill="1" applyBorder="1" applyAlignment="1" applyProtection="1">
      <alignment horizontal="center" vertical="center"/>
      <protection hidden="1"/>
    </xf>
    <xf numFmtId="164" fontId="3" fillId="3" borderId="38" xfId="2" applyFont="1" applyFill="1" applyBorder="1" applyAlignment="1" applyProtection="1">
      <alignment horizontal="center" vertical="center"/>
      <protection hidden="1"/>
    </xf>
    <xf numFmtId="164" fontId="3" fillId="3" borderId="39" xfId="2" applyFont="1" applyFill="1" applyBorder="1" applyAlignment="1" applyProtection="1">
      <alignment horizontal="center" vertical="center"/>
      <protection hidden="1"/>
    </xf>
    <xf numFmtId="10" fontId="3" fillId="3" borderId="2" xfId="0" applyNumberFormat="1" applyFont="1" applyFill="1" applyBorder="1" applyAlignment="1" applyProtection="1">
      <alignment vertical="center"/>
      <protection hidden="1"/>
    </xf>
    <xf numFmtId="10" fontId="3" fillId="3" borderId="3" xfId="0" applyNumberFormat="1" applyFont="1" applyFill="1" applyBorder="1" applyAlignment="1" applyProtection="1">
      <alignment vertical="center"/>
      <protection hidden="1"/>
    </xf>
    <xf numFmtId="0" fontId="3" fillId="3" borderId="4" xfId="0" applyFont="1" applyFill="1" applyBorder="1" applyAlignment="1" applyProtection="1">
      <alignment vertical="center"/>
      <protection hidden="1"/>
    </xf>
    <xf numFmtId="0" fontId="16" fillId="0" borderId="27" xfId="0" applyFont="1" applyBorder="1" applyAlignment="1" applyProtection="1">
      <alignment horizontal="center" vertical="center"/>
      <protection hidden="1"/>
    </xf>
    <xf numFmtId="0" fontId="16" fillId="0" borderId="40" xfId="0" applyFont="1" applyBorder="1" applyAlignment="1" applyProtection="1">
      <alignment horizontal="center" vertical="center"/>
      <protection hidden="1"/>
    </xf>
    <xf numFmtId="10" fontId="3" fillId="3" borderId="40" xfId="0" applyNumberFormat="1" applyFont="1" applyFill="1" applyBorder="1" applyAlignment="1" applyProtection="1">
      <alignment vertical="center"/>
      <protection hidden="1"/>
    </xf>
    <xf numFmtId="10" fontId="3" fillId="3" borderId="41" xfId="0" applyNumberFormat="1" applyFont="1" applyFill="1" applyBorder="1" applyAlignment="1" applyProtection="1">
      <alignment vertical="center"/>
      <protection hidden="1"/>
    </xf>
    <xf numFmtId="10" fontId="3" fillId="3" borderId="42" xfId="0" applyNumberFormat="1" applyFont="1" applyFill="1" applyBorder="1" applyAlignment="1" applyProtection="1">
      <alignment vertical="center"/>
      <protection hidden="1"/>
    </xf>
    <xf numFmtId="9" fontId="3" fillId="0" borderId="7" xfId="0" applyNumberFormat="1" applyFont="1" applyBorder="1" applyAlignment="1" applyProtection="1">
      <alignment horizontal="center" vertical="center"/>
      <protection hidden="1"/>
    </xf>
    <xf numFmtId="0" fontId="3" fillId="4" borderId="0" xfId="0" applyFont="1" applyFill="1" applyBorder="1" applyAlignment="1"/>
    <xf numFmtId="0" fontId="3" fillId="4" borderId="0" xfId="0" applyFont="1" applyFill="1"/>
    <xf numFmtId="0" fontId="3" fillId="0" borderId="0" xfId="0" applyFont="1"/>
    <xf numFmtId="0" fontId="3" fillId="0" borderId="0" xfId="0" applyFont="1" applyBorder="1" applyAlignment="1"/>
    <xf numFmtId="0" fontId="23" fillId="0" borderId="0" xfId="0" applyFont="1" applyAlignment="1">
      <alignment horizontal="left" indent="4"/>
    </xf>
    <xf numFmtId="0" fontId="23" fillId="0" borderId="0" xfId="0" applyFont="1"/>
    <xf numFmtId="0" fontId="23" fillId="0" borderId="0" xfId="0" applyFont="1" applyBorder="1" applyAlignment="1">
      <alignment horizontal="left" indent="4"/>
    </xf>
    <xf numFmtId="0" fontId="3" fillId="0" borderId="0" xfId="0" applyFont="1" applyBorder="1"/>
    <xf numFmtId="0" fontId="3" fillId="4" borderId="0" xfId="0" applyFont="1" applyFill="1" applyBorder="1"/>
    <xf numFmtId="0" fontId="23" fillId="4" borderId="0" xfId="0" applyFont="1" applyFill="1" applyBorder="1" applyAlignment="1">
      <alignment horizontal="left" indent="4"/>
    </xf>
    <xf numFmtId="0" fontId="26" fillId="4" borderId="0" xfId="0" applyFont="1" applyFill="1"/>
    <xf numFmtId="0" fontId="27" fillId="4" borderId="0" xfId="0" applyFont="1" applyFill="1"/>
    <xf numFmtId="0" fontId="5" fillId="5" borderId="7" xfId="0" applyFont="1" applyFill="1" applyBorder="1" applyAlignment="1" applyProtection="1">
      <alignment vertical="center"/>
      <protection hidden="1"/>
    </xf>
    <xf numFmtId="0" fontId="3" fillId="5" borderId="0" xfId="0" applyFont="1" applyFill="1" applyBorder="1" applyAlignment="1"/>
    <xf numFmtId="0" fontId="3" fillId="5" borderId="0" xfId="0" applyFont="1" applyFill="1" applyBorder="1"/>
    <xf numFmtId="165" fontId="3" fillId="3" borderId="25" xfId="0" applyNumberFormat="1" applyFont="1" applyFill="1" applyBorder="1" applyAlignment="1" applyProtection="1">
      <alignment horizontal="center" vertical="center"/>
      <protection hidden="1"/>
    </xf>
    <xf numFmtId="0" fontId="23" fillId="4" borderId="0" xfId="0" applyFont="1" applyFill="1" applyAlignment="1">
      <alignment horizontal="center"/>
    </xf>
    <xf numFmtId="0" fontId="3" fillId="5" borderId="0" xfId="0" applyFont="1" applyFill="1" applyAlignment="1">
      <alignment horizontal="center"/>
    </xf>
    <xf numFmtId="0" fontId="23" fillId="4" borderId="0" xfId="0" applyFont="1" applyFill="1" applyAlignment="1"/>
    <xf numFmtId="0" fontId="23" fillId="4" borderId="0" xfId="0" applyFont="1" applyFill="1" applyAlignment="1">
      <alignment horizontal="left"/>
    </xf>
    <xf numFmtId="173" fontId="3" fillId="3" borderId="25" xfId="7" applyNumberFormat="1" applyFont="1" applyFill="1" applyBorder="1" applyAlignment="1" applyProtection="1">
      <alignment horizontal="center" vertical="center"/>
      <protection hidden="1"/>
    </xf>
    <xf numFmtId="10" fontId="3" fillId="3" borderId="4" xfId="0" applyNumberFormat="1" applyFont="1" applyFill="1" applyBorder="1" applyAlignment="1" applyProtection="1">
      <alignment vertical="center"/>
      <protection hidden="1"/>
    </xf>
    <xf numFmtId="0" fontId="8" fillId="0" borderId="0" xfId="0" applyFont="1" applyBorder="1" applyAlignment="1" applyProtection="1">
      <alignment horizontal="left" vertical="center"/>
      <protection hidden="1"/>
    </xf>
    <xf numFmtId="0" fontId="3" fillId="0" borderId="0" xfId="0" applyFont="1" applyBorder="1" applyAlignment="1" applyProtection="1">
      <alignment horizontal="left" vertical="center"/>
      <protection hidden="1"/>
    </xf>
    <xf numFmtId="0" fontId="8" fillId="9" borderId="19" xfId="0" applyNumberFormat="1" applyFont="1" applyFill="1" applyBorder="1" applyAlignment="1" applyProtection="1">
      <alignment horizontal="center" vertical="center"/>
      <protection hidden="1"/>
    </xf>
    <xf numFmtId="0" fontId="8" fillId="9" borderId="19" xfId="0" applyNumberFormat="1" applyFont="1" applyFill="1" applyBorder="1" applyAlignment="1" applyProtection="1">
      <alignment horizontal="left" vertical="center"/>
      <protection hidden="1"/>
    </xf>
    <xf numFmtId="0" fontId="8" fillId="0" borderId="43" xfId="0" applyNumberFormat="1" applyFont="1" applyFill="1" applyBorder="1" applyAlignment="1" applyProtection="1">
      <alignment horizontal="center" vertical="center"/>
      <protection hidden="1"/>
    </xf>
    <xf numFmtId="0" fontId="8" fillId="0" borderId="43" xfId="0" applyNumberFormat="1" applyFont="1" applyFill="1" applyBorder="1" applyAlignment="1" applyProtection="1">
      <alignment horizontal="left" vertical="center"/>
      <protection hidden="1"/>
    </xf>
    <xf numFmtId="168" fontId="3" fillId="0" borderId="7" xfId="0" applyNumberFormat="1" applyFont="1" applyFill="1" applyBorder="1" applyAlignment="1" applyProtection="1">
      <alignment horizontal="center" vertical="center"/>
      <protection hidden="1"/>
    </xf>
    <xf numFmtId="168" fontId="8" fillId="0" borderId="44" xfId="0" applyNumberFormat="1" applyFont="1" applyFill="1" applyBorder="1" applyAlignment="1" applyProtection="1">
      <alignment horizontal="center" vertical="center"/>
      <protection hidden="1"/>
    </xf>
    <xf numFmtId="168" fontId="8" fillId="0" borderId="45" xfId="0" applyNumberFormat="1" applyFont="1" applyFill="1" applyBorder="1" applyAlignment="1" applyProtection="1">
      <alignment horizontal="center" vertical="center"/>
      <protection hidden="1"/>
    </xf>
    <xf numFmtId="168" fontId="8" fillId="9" borderId="44" xfId="0" applyNumberFormat="1" applyFont="1" applyFill="1" applyBorder="1" applyAlignment="1" applyProtection="1">
      <alignment horizontal="center" vertical="center"/>
      <protection hidden="1"/>
    </xf>
    <xf numFmtId="4" fontId="47" fillId="0" borderId="7" xfId="5" applyNumberFormat="1" applyFont="1" applyBorder="1" applyAlignment="1" applyProtection="1">
      <alignment horizontal="right" vertical="center" wrapText="1"/>
      <protection hidden="1"/>
    </xf>
    <xf numFmtId="164" fontId="45" fillId="0" borderId="7" xfId="6" applyNumberFormat="1" applyFont="1" applyBorder="1" applyAlignment="1" applyProtection="1">
      <alignment vertical="center"/>
      <protection hidden="1"/>
    </xf>
    <xf numFmtId="0" fontId="45" fillId="4" borderId="0" xfId="6" applyFont="1" applyFill="1" applyAlignment="1" applyProtection="1">
      <alignment vertical="center"/>
      <protection hidden="1"/>
    </xf>
    <xf numFmtId="0" fontId="44" fillId="4" borderId="0" xfId="5" applyFont="1" applyFill="1" applyAlignment="1" applyProtection="1">
      <alignment vertical="center"/>
      <protection hidden="1"/>
    </xf>
    <xf numFmtId="167" fontId="45" fillId="0" borderId="7" xfId="6" applyNumberFormat="1" applyFont="1" applyBorder="1" applyAlignment="1" applyProtection="1">
      <alignment vertical="center"/>
      <protection hidden="1"/>
    </xf>
    <xf numFmtId="0" fontId="46" fillId="0" borderId="7" xfId="6" applyFont="1" applyBorder="1" applyAlignment="1" applyProtection="1">
      <alignment vertical="center"/>
      <protection hidden="1"/>
    </xf>
    <xf numFmtId="0" fontId="45" fillId="0" borderId="7" xfId="6" applyFont="1" applyBorder="1" applyAlignment="1" applyProtection="1">
      <alignment vertical="center"/>
      <protection hidden="1"/>
    </xf>
    <xf numFmtId="0" fontId="44" fillId="0" borderId="7" xfId="5" applyFont="1" applyBorder="1" applyAlignment="1" applyProtection="1">
      <alignment vertical="center"/>
      <protection hidden="1"/>
    </xf>
    <xf numFmtId="4" fontId="46" fillId="0" borderId="7" xfId="6" applyNumberFormat="1" applyFont="1" applyBorder="1" applyAlignment="1" applyProtection="1">
      <alignment horizontal="right" vertical="center"/>
      <protection hidden="1"/>
    </xf>
    <xf numFmtId="4" fontId="47" fillId="0" borderId="7" xfId="5" applyNumberFormat="1" applyFont="1" applyBorder="1" applyAlignment="1" applyProtection="1">
      <alignment horizontal="right" vertical="center"/>
      <protection hidden="1"/>
    </xf>
    <xf numFmtId="0" fontId="8" fillId="0" borderId="46" xfId="0" applyNumberFormat="1" applyFont="1" applyFill="1" applyBorder="1" applyAlignment="1" applyProtection="1">
      <alignment horizontal="left" vertical="center"/>
      <protection hidden="1"/>
    </xf>
    <xf numFmtId="0" fontId="8" fillId="0" borderId="47" xfId="0" applyNumberFormat="1" applyFont="1" applyFill="1" applyBorder="1" applyAlignment="1" applyProtection="1">
      <alignment horizontal="center" vertical="center"/>
      <protection hidden="1"/>
    </xf>
    <xf numFmtId="0" fontId="8" fillId="0" borderId="47" xfId="0" applyNumberFormat="1" applyFont="1" applyFill="1" applyBorder="1" applyAlignment="1" applyProtection="1">
      <alignment horizontal="left" vertical="center"/>
      <protection hidden="1"/>
    </xf>
    <xf numFmtId="168" fontId="8" fillId="0" borderId="48" xfId="0" applyNumberFormat="1" applyFont="1" applyFill="1" applyBorder="1" applyAlignment="1" applyProtection="1">
      <alignment horizontal="center" vertical="center"/>
      <protection hidden="1"/>
    </xf>
    <xf numFmtId="10" fontId="3" fillId="3" borderId="25" xfId="7" applyNumberFormat="1" applyFont="1" applyFill="1" applyBorder="1" applyAlignment="1" applyProtection="1">
      <alignment horizontal="center" vertical="center"/>
      <protection hidden="1"/>
    </xf>
    <xf numFmtId="0" fontId="48" fillId="0" borderId="7" xfId="6" applyFont="1" applyBorder="1" applyAlignment="1" applyProtection="1">
      <alignment horizontal="center" vertical="center"/>
      <protection hidden="1"/>
    </xf>
    <xf numFmtId="0" fontId="56" fillId="0" borderId="3" xfId="0" applyFont="1" applyBorder="1" applyAlignment="1" applyProtection="1">
      <alignment vertical="center"/>
      <protection hidden="1"/>
    </xf>
    <xf numFmtId="10" fontId="56" fillId="3" borderId="28" xfId="0" applyNumberFormat="1" applyFont="1" applyFill="1" applyBorder="1" applyAlignment="1" applyProtection="1">
      <alignment vertical="center"/>
      <protection hidden="1"/>
    </xf>
    <xf numFmtId="10" fontId="57" fillId="3" borderId="41" xfId="0" applyNumberFormat="1" applyFont="1" applyFill="1" applyBorder="1" applyAlignment="1" applyProtection="1">
      <alignment vertical="center"/>
      <protection hidden="1"/>
    </xf>
    <xf numFmtId="10" fontId="57" fillId="3" borderId="3" xfId="0" applyNumberFormat="1" applyFont="1" applyFill="1" applyBorder="1" applyAlignment="1" applyProtection="1">
      <alignment vertical="center"/>
      <protection hidden="1"/>
    </xf>
    <xf numFmtId="10" fontId="57" fillId="3" borderId="0" xfId="0" applyNumberFormat="1" applyFont="1" applyFill="1" applyBorder="1" applyAlignment="1" applyProtection="1">
      <alignment vertical="center"/>
      <protection hidden="1"/>
    </xf>
    <xf numFmtId="10" fontId="58" fillId="3" borderId="41" xfId="0" applyNumberFormat="1" applyFont="1" applyFill="1" applyBorder="1" applyAlignment="1" applyProtection="1">
      <alignment vertical="center"/>
      <protection hidden="1"/>
    </xf>
    <xf numFmtId="10" fontId="58" fillId="3" borderId="3" xfId="0" applyNumberFormat="1" applyFont="1" applyFill="1" applyBorder="1" applyAlignment="1" applyProtection="1">
      <alignment vertical="center"/>
      <protection hidden="1"/>
    </xf>
    <xf numFmtId="0" fontId="49" fillId="0" borderId="7" xfId="6" applyFont="1" applyBorder="1" applyAlignment="1" applyProtection="1">
      <alignment vertical="center"/>
      <protection hidden="1"/>
    </xf>
    <xf numFmtId="4" fontId="49" fillId="0" borderId="7" xfId="6" applyNumberFormat="1" applyFont="1" applyBorder="1" applyAlignment="1" applyProtection="1">
      <alignment horizontal="right" vertical="center"/>
      <protection hidden="1"/>
    </xf>
    <xf numFmtId="4" fontId="50" fillId="0" borderId="7" xfId="5" applyNumberFormat="1" applyFont="1" applyBorder="1" applyAlignment="1" applyProtection="1">
      <alignment horizontal="right" vertical="center"/>
      <protection hidden="1"/>
    </xf>
    <xf numFmtId="0" fontId="51" fillId="0" borderId="7" xfId="6" applyFont="1" applyBorder="1" applyAlignment="1" applyProtection="1">
      <alignment vertical="center"/>
      <protection hidden="1"/>
    </xf>
    <xf numFmtId="0" fontId="3" fillId="0" borderId="49" xfId="0" applyFont="1" applyBorder="1" applyAlignment="1" applyProtection="1">
      <alignment vertical="center"/>
      <protection hidden="1"/>
    </xf>
    <xf numFmtId="0" fontId="4" fillId="6" borderId="7" xfId="0" applyFont="1" applyFill="1" applyBorder="1" applyAlignment="1" applyProtection="1">
      <alignment horizontal="center" vertical="center"/>
      <protection hidden="1"/>
    </xf>
    <xf numFmtId="0" fontId="3" fillId="3" borderId="1" xfId="0" applyNumberFormat="1" applyFont="1" applyFill="1" applyBorder="1" applyAlignment="1" applyProtection="1">
      <alignment horizontal="center" vertical="center"/>
      <protection locked="0" hidden="1"/>
    </xf>
    <xf numFmtId="14" fontId="3" fillId="3" borderId="1" xfId="0" applyNumberFormat="1" applyFont="1" applyFill="1" applyBorder="1" applyAlignment="1" applyProtection="1">
      <alignment horizontal="center" vertical="center"/>
      <protection locked="0" hidden="1"/>
    </xf>
    <xf numFmtId="0" fontId="3" fillId="3" borderId="1" xfId="0" applyFont="1" applyFill="1" applyBorder="1" applyAlignment="1" applyProtection="1">
      <alignment horizontal="center" vertical="center"/>
      <protection locked="0" hidden="1"/>
    </xf>
    <xf numFmtId="10" fontId="3" fillId="3" borderId="1" xfId="0" applyNumberFormat="1" applyFont="1" applyFill="1" applyBorder="1" applyAlignment="1" applyProtection="1">
      <alignment horizontal="center" vertical="center"/>
      <protection locked="0" hidden="1"/>
    </xf>
    <xf numFmtId="9" fontId="3" fillId="3" borderId="1" xfId="0" applyNumberFormat="1" applyFont="1" applyFill="1" applyBorder="1" applyAlignment="1" applyProtection="1">
      <alignment horizontal="center" vertical="center"/>
      <protection locked="0" hidden="1"/>
    </xf>
    <xf numFmtId="10" fontId="8" fillId="3" borderId="1" xfId="0" applyNumberFormat="1" applyFont="1" applyFill="1" applyBorder="1" applyAlignment="1" applyProtection="1">
      <alignment horizontal="center" vertical="center"/>
      <protection locked="0" hidden="1"/>
    </xf>
    <xf numFmtId="164" fontId="3" fillId="3" borderId="7" xfId="2" applyFont="1" applyFill="1" applyBorder="1" applyAlignment="1" applyProtection="1">
      <alignment vertical="center"/>
      <protection locked="0" hidden="1"/>
    </xf>
    <xf numFmtId="10" fontId="3" fillId="0" borderId="0" xfId="0" applyNumberFormat="1" applyFont="1" applyAlignment="1" applyProtection="1">
      <alignment vertical="center"/>
      <protection hidden="1"/>
    </xf>
    <xf numFmtId="0" fontId="35" fillId="4" borderId="0" xfId="0" applyFont="1" applyFill="1" applyBorder="1" applyAlignment="1" applyProtection="1">
      <alignment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10" fillId="0" borderId="0" xfId="0" applyFont="1" applyAlignment="1" applyProtection="1">
      <alignment vertical="center"/>
      <protection hidden="1"/>
    </xf>
    <xf numFmtId="2" fontId="3" fillId="0" borderId="0" xfId="0" applyNumberFormat="1" applyFont="1" applyAlignment="1" applyProtection="1">
      <alignment vertical="center"/>
      <protection hidden="1"/>
    </xf>
    <xf numFmtId="0" fontId="2" fillId="0" borderId="0" xfId="0" applyFont="1" applyFill="1" applyAlignment="1" applyProtection="1">
      <alignment horizontal="right" vertical="center"/>
      <protection hidden="1"/>
    </xf>
    <xf numFmtId="0" fontId="3" fillId="0" borderId="0" xfId="0" applyFont="1" applyFill="1" applyAlignment="1" applyProtection="1">
      <alignment horizontal="center" vertical="center"/>
      <protection hidden="1"/>
    </xf>
    <xf numFmtId="10" fontId="3" fillId="0" borderId="0" xfId="0" applyNumberFormat="1" applyFont="1" applyFill="1" applyAlignment="1" applyProtection="1">
      <alignment vertical="center"/>
      <protection hidden="1"/>
    </xf>
    <xf numFmtId="169" fontId="3" fillId="0" borderId="1" xfId="0" applyNumberFormat="1" applyFont="1" applyBorder="1" applyAlignment="1" applyProtection="1">
      <alignment horizontal="center" vertical="center"/>
      <protection hidden="1"/>
    </xf>
    <xf numFmtId="0" fontId="2" fillId="0" borderId="0" xfId="0" applyFont="1" applyAlignment="1" applyProtection="1">
      <alignment vertical="center"/>
      <protection hidden="1"/>
    </xf>
    <xf numFmtId="169" fontId="3" fillId="0" borderId="0" xfId="0" applyNumberFormat="1" applyFont="1" applyAlignment="1" applyProtection="1">
      <alignment vertical="center"/>
      <protection hidden="1"/>
    </xf>
    <xf numFmtId="14" fontId="56" fillId="0" borderId="0" xfId="0" applyNumberFormat="1" applyFont="1" applyAlignment="1" applyProtection="1">
      <alignment vertical="center"/>
      <protection hidden="1"/>
    </xf>
    <xf numFmtId="0" fontId="2" fillId="0" borderId="0" xfId="0" applyFont="1" applyAlignment="1" applyProtection="1">
      <alignment horizontal="center" vertical="center"/>
      <protection hidden="1"/>
    </xf>
    <xf numFmtId="165" fontId="3" fillId="0" borderId="1" xfId="0" applyNumberFormat="1" applyFont="1" applyFill="1" applyBorder="1" applyAlignment="1" applyProtection="1">
      <alignment horizontal="center" vertical="center"/>
      <protection hidden="1"/>
    </xf>
    <xf numFmtId="165" fontId="56" fillId="0" borderId="0" xfId="0" applyNumberFormat="1" applyFont="1" applyFill="1" applyBorder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3" fillId="0" borderId="39" xfId="0" applyFont="1" applyBorder="1" applyAlignment="1" applyProtection="1">
      <alignment horizontal="left" vertical="center"/>
      <protection hidden="1"/>
    </xf>
    <xf numFmtId="0" fontId="2" fillId="0" borderId="0" xfId="0" applyFont="1" applyBorder="1" applyAlignment="1" applyProtection="1">
      <alignment horizontal="right" vertical="center"/>
      <protection hidden="1"/>
    </xf>
    <xf numFmtId="0" fontId="3" fillId="0" borderId="0" xfId="0" applyFont="1" applyFill="1" applyBorder="1" applyAlignment="1" applyProtection="1">
      <alignment horizontal="center" vertical="center"/>
      <protection hidden="1"/>
    </xf>
    <xf numFmtId="0" fontId="38" fillId="0" borderId="0" xfId="0" applyFont="1" applyAlignment="1" applyProtection="1">
      <alignment vertical="center"/>
      <protection hidden="1"/>
    </xf>
    <xf numFmtId="0" fontId="3" fillId="0" borderId="36" xfId="0" applyFont="1" applyBorder="1" applyAlignment="1" applyProtection="1">
      <alignment vertical="center"/>
      <protection hidden="1"/>
    </xf>
    <xf numFmtId="0" fontId="3" fillId="0" borderId="50" xfId="0" applyFont="1" applyBorder="1" applyAlignment="1" applyProtection="1">
      <alignment horizontal="center" vertical="center"/>
      <protection hidden="1"/>
    </xf>
    <xf numFmtId="0" fontId="3" fillId="0" borderId="51" xfId="0" applyFont="1" applyBorder="1" applyAlignment="1" applyProtection="1">
      <alignment horizontal="center" vertical="center"/>
      <protection hidden="1"/>
    </xf>
    <xf numFmtId="0" fontId="3" fillId="0" borderId="52" xfId="0" applyFont="1" applyBorder="1" applyAlignment="1" applyProtection="1">
      <alignment vertical="center"/>
      <protection hidden="1"/>
    </xf>
    <xf numFmtId="0" fontId="2" fillId="0" borderId="53" xfId="0" applyFont="1" applyFill="1" applyBorder="1" applyAlignment="1" applyProtection="1">
      <alignment horizontal="center" vertical="center"/>
      <protection hidden="1"/>
    </xf>
    <xf numFmtId="10" fontId="3" fillId="0" borderId="53" xfId="0" applyNumberFormat="1" applyFont="1" applyBorder="1" applyAlignment="1" applyProtection="1">
      <alignment horizontal="center" vertical="center"/>
      <protection hidden="1"/>
    </xf>
    <xf numFmtId="165" fontId="3" fillId="0" borderId="54" xfId="2" applyNumberFormat="1" applyFont="1" applyFill="1" applyBorder="1" applyAlignment="1" applyProtection="1">
      <alignment horizontal="right" vertical="center"/>
      <protection hidden="1"/>
    </xf>
    <xf numFmtId="168" fontId="3" fillId="0" borderId="0" xfId="0" applyNumberFormat="1" applyFont="1" applyAlignment="1" applyProtection="1">
      <alignment vertical="center"/>
      <protection hidden="1"/>
    </xf>
    <xf numFmtId="164" fontId="3" fillId="0" borderId="0" xfId="2" applyFont="1" applyBorder="1" applyAlignment="1" applyProtection="1">
      <alignment horizontal="center" vertical="center"/>
      <protection hidden="1"/>
    </xf>
    <xf numFmtId="0" fontId="3" fillId="0" borderId="0" xfId="0" applyFont="1" applyFill="1" applyBorder="1" applyAlignment="1" applyProtection="1">
      <alignment vertical="center"/>
      <protection hidden="1"/>
    </xf>
    <xf numFmtId="168" fontId="3" fillId="0" borderId="25" xfId="0" applyNumberFormat="1" applyFont="1" applyFill="1" applyBorder="1" applyAlignment="1" applyProtection="1">
      <alignment horizontal="right" vertical="center"/>
      <protection hidden="1"/>
    </xf>
    <xf numFmtId="10" fontId="3" fillId="9" borderId="25" xfId="7" applyNumberFormat="1" applyFont="1" applyFill="1" applyBorder="1" applyAlignment="1" applyProtection="1">
      <alignment horizontal="center" vertical="center"/>
      <protection hidden="1"/>
    </xf>
    <xf numFmtId="164" fontId="3" fillId="0" borderId="26" xfId="2" applyFont="1" applyFill="1" applyBorder="1" applyAlignment="1" applyProtection="1">
      <alignment horizontal="right" vertical="center"/>
      <protection hidden="1"/>
    </xf>
    <xf numFmtId="2" fontId="9" fillId="0" borderId="0" xfId="0" applyNumberFormat="1" applyFont="1" applyProtection="1">
      <protection hidden="1"/>
    </xf>
    <xf numFmtId="10" fontId="3" fillId="0" borderId="25" xfId="7" applyNumberFormat="1" applyFont="1" applyFill="1" applyBorder="1" applyAlignment="1" applyProtection="1">
      <alignment horizontal="center" vertical="center"/>
      <protection hidden="1"/>
    </xf>
    <xf numFmtId="0" fontId="22" fillId="0" borderId="0" xfId="0" applyFont="1" applyFill="1" applyBorder="1" applyAlignment="1" applyProtection="1">
      <alignment horizontal="center" vertical="center"/>
      <protection hidden="1"/>
    </xf>
    <xf numFmtId="0" fontId="5" fillId="0" borderId="25" xfId="2" applyNumberFormat="1" applyFont="1" applyBorder="1" applyAlignment="1" applyProtection="1">
      <alignment horizontal="center" vertical="center"/>
      <protection hidden="1"/>
    </xf>
    <xf numFmtId="0" fontId="3" fillId="0" borderId="0" xfId="0" applyFont="1" applyFill="1" applyAlignment="1" applyProtection="1">
      <alignment vertical="center"/>
      <protection hidden="1"/>
    </xf>
    <xf numFmtId="10" fontId="3" fillId="0" borderId="0" xfId="0" applyNumberFormat="1" applyFont="1" applyBorder="1" applyAlignment="1" applyProtection="1">
      <alignment horizontal="center" vertical="center"/>
      <protection hidden="1"/>
    </xf>
    <xf numFmtId="168" fontId="3" fillId="0" borderId="55" xfId="0" applyNumberFormat="1" applyFont="1" applyFill="1" applyBorder="1" applyAlignment="1" applyProtection="1">
      <alignment horizontal="center" vertical="center"/>
      <protection hidden="1"/>
    </xf>
    <xf numFmtId="10" fontId="3" fillId="0" borderId="55" xfId="0" applyNumberFormat="1" applyFont="1" applyBorder="1" applyAlignment="1" applyProtection="1">
      <alignment horizontal="center" vertical="center"/>
      <protection hidden="1"/>
    </xf>
    <xf numFmtId="0" fontId="4" fillId="7" borderId="7" xfId="0" applyFont="1" applyFill="1" applyBorder="1" applyAlignment="1" applyProtection="1">
      <alignment vertical="center"/>
      <protection hidden="1"/>
    </xf>
    <xf numFmtId="2" fontId="3" fillId="0" borderId="0" xfId="0" applyNumberFormat="1" applyFont="1" applyBorder="1" applyAlignment="1" applyProtection="1">
      <alignment horizontal="right" vertical="center"/>
      <protection hidden="1"/>
    </xf>
    <xf numFmtId="164" fontId="4" fillId="7" borderId="7" xfId="2" applyFont="1" applyFill="1" applyBorder="1" applyAlignment="1" applyProtection="1">
      <alignment horizontal="right" vertical="center"/>
      <protection hidden="1"/>
    </xf>
    <xf numFmtId="2" fontId="3" fillId="0" borderId="0" xfId="0" applyNumberFormat="1" applyFont="1" applyBorder="1" applyAlignment="1" applyProtection="1">
      <alignment horizontal="center" vertical="center"/>
      <protection hidden="1"/>
    </xf>
    <xf numFmtId="44" fontId="3" fillId="0" borderId="0" xfId="3" applyFont="1" applyBorder="1" applyAlignment="1" applyProtection="1">
      <alignment horizontal="center" vertical="center"/>
      <protection hidden="1"/>
    </xf>
    <xf numFmtId="44" fontId="3" fillId="0" borderId="0" xfId="0" applyNumberFormat="1" applyFont="1" applyAlignment="1" applyProtection="1">
      <alignment vertical="center"/>
      <protection hidden="1"/>
    </xf>
    <xf numFmtId="168" fontId="2" fillId="0" borderId="0" xfId="0" applyNumberFormat="1" applyFont="1" applyFill="1" applyBorder="1" applyAlignment="1" applyProtection="1">
      <alignment horizontal="right" vertical="center"/>
      <protection hidden="1"/>
    </xf>
    <xf numFmtId="0" fontId="3" fillId="0" borderId="0" xfId="0" applyFont="1" applyBorder="1" applyAlignment="1" applyProtection="1">
      <alignment horizontal="center" vertical="center"/>
      <protection hidden="1"/>
    </xf>
    <xf numFmtId="0" fontId="6" fillId="0" borderId="0" xfId="1" applyAlignment="1" applyProtection="1">
      <alignment vertical="center"/>
      <protection hidden="1"/>
    </xf>
    <xf numFmtId="0" fontId="5" fillId="0" borderId="0" xfId="0" applyFont="1" applyFill="1" applyBorder="1" applyAlignment="1" applyProtection="1">
      <alignment horizontal="center" vertical="center"/>
      <protection hidden="1"/>
    </xf>
    <xf numFmtId="0" fontId="5" fillId="0" borderId="0" xfId="0" applyFont="1" applyFill="1" applyBorder="1" applyAlignment="1" applyProtection="1">
      <alignment vertical="center"/>
      <protection hidden="1"/>
    </xf>
    <xf numFmtId="0" fontId="3" fillId="0" borderId="56" xfId="0" applyFont="1" applyBorder="1" applyAlignment="1" applyProtection="1">
      <alignment horizontal="center" vertical="center"/>
      <protection hidden="1"/>
    </xf>
    <xf numFmtId="10" fontId="3" fillId="0" borderId="56" xfId="0" applyNumberFormat="1" applyFont="1" applyBorder="1" applyAlignment="1" applyProtection="1">
      <alignment horizontal="center" vertical="center"/>
      <protection hidden="1"/>
    </xf>
    <xf numFmtId="10" fontId="3" fillId="0" borderId="57" xfId="0" applyNumberFormat="1" applyFont="1" applyBorder="1" applyAlignment="1" applyProtection="1">
      <alignment horizontal="center" vertical="center"/>
      <protection hidden="1"/>
    </xf>
    <xf numFmtId="168" fontId="3" fillId="0" borderId="25" xfId="0" applyNumberFormat="1" applyFont="1" applyBorder="1" applyAlignment="1" applyProtection="1">
      <alignment horizontal="right" vertical="center"/>
      <protection hidden="1"/>
    </xf>
    <xf numFmtId="10" fontId="3" fillId="0" borderId="25" xfId="0" applyNumberFormat="1" applyFont="1" applyBorder="1" applyAlignment="1" applyProtection="1">
      <alignment horizontal="right" vertical="center"/>
      <protection hidden="1"/>
    </xf>
    <xf numFmtId="168" fontId="2" fillId="0" borderId="26" xfId="0" applyNumberFormat="1" applyFont="1" applyBorder="1" applyAlignment="1" applyProtection="1">
      <alignment vertical="center"/>
      <protection hidden="1"/>
    </xf>
    <xf numFmtId="168" fontId="3" fillId="0" borderId="25" xfId="0" applyNumberFormat="1" applyFont="1" applyBorder="1" applyAlignment="1" applyProtection="1">
      <alignment vertical="center"/>
      <protection hidden="1"/>
    </xf>
    <xf numFmtId="168" fontId="3" fillId="0" borderId="26" xfId="0" applyNumberFormat="1" applyFont="1" applyBorder="1" applyAlignment="1" applyProtection="1">
      <alignment horizontal="right" vertical="center"/>
      <protection hidden="1"/>
    </xf>
    <xf numFmtId="168" fontId="2" fillId="0" borderId="25" xfId="0" applyNumberFormat="1" applyFont="1" applyBorder="1" applyAlignment="1" applyProtection="1">
      <alignment vertical="center"/>
      <protection hidden="1"/>
    </xf>
    <xf numFmtId="10" fontId="3" fillId="3" borderId="25" xfId="0" applyNumberFormat="1" applyFont="1" applyFill="1" applyBorder="1" applyAlignment="1" applyProtection="1">
      <alignment horizontal="right" vertical="center"/>
      <protection hidden="1"/>
    </xf>
    <xf numFmtId="10" fontId="3" fillId="0" borderId="25" xfId="0" applyNumberFormat="1" applyFont="1" applyFill="1" applyBorder="1" applyAlignment="1" applyProtection="1">
      <alignment horizontal="right" vertical="center"/>
      <protection hidden="1"/>
    </xf>
    <xf numFmtId="0" fontId="42" fillId="4" borderId="0" xfId="5" applyFill="1" applyAlignment="1" applyProtection="1">
      <alignment vertical="center"/>
      <protection hidden="1"/>
    </xf>
    <xf numFmtId="0" fontId="56" fillId="0" borderId="5" xfId="0" applyFont="1" applyBorder="1" applyAlignment="1" applyProtection="1">
      <alignment vertical="center"/>
      <protection hidden="1"/>
    </xf>
    <xf numFmtId="168" fontId="56" fillId="0" borderId="25" xfId="0" applyNumberFormat="1" applyFont="1" applyBorder="1" applyAlignment="1" applyProtection="1">
      <alignment horizontal="right" vertical="center"/>
      <protection hidden="1"/>
    </xf>
    <xf numFmtId="10" fontId="56" fillId="0" borderId="25" xfId="0" applyNumberFormat="1" applyFont="1" applyBorder="1" applyAlignment="1" applyProtection="1">
      <alignment horizontal="right" vertical="center"/>
      <protection hidden="1"/>
    </xf>
    <xf numFmtId="168" fontId="3" fillId="0" borderId="26" xfId="0" applyNumberFormat="1" applyFont="1" applyBorder="1" applyAlignment="1" applyProtection="1">
      <alignment vertical="center"/>
      <protection hidden="1"/>
    </xf>
    <xf numFmtId="0" fontId="3" fillId="0" borderId="6" xfId="0" applyFont="1" applyFill="1" applyBorder="1" applyAlignment="1" applyProtection="1">
      <alignment vertical="center"/>
      <protection hidden="1"/>
    </xf>
    <xf numFmtId="168" fontId="3" fillId="0" borderId="55" xfId="0" applyNumberFormat="1" applyFont="1" applyBorder="1" applyAlignment="1" applyProtection="1">
      <alignment horizontal="right" vertical="center"/>
      <protection hidden="1"/>
    </xf>
    <xf numFmtId="10" fontId="3" fillId="0" borderId="55" xfId="0" applyNumberFormat="1" applyFont="1" applyBorder="1" applyAlignment="1" applyProtection="1">
      <alignment horizontal="right" vertical="center"/>
      <protection hidden="1"/>
    </xf>
    <xf numFmtId="0" fontId="4" fillId="7" borderId="4" xfId="0" applyFont="1" applyFill="1" applyBorder="1" applyAlignment="1" applyProtection="1">
      <alignment vertical="center"/>
      <protection hidden="1"/>
    </xf>
    <xf numFmtId="168" fontId="4" fillId="7" borderId="4" xfId="0" applyNumberFormat="1" applyFont="1" applyFill="1" applyBorder="1" applyAlignment="1" applyProtection="1">
      <alignment vertical="center"/>
      <protection hidden="1"/>
    </xf>
    <xf numFmtId="0" fontId="13" fillId="0" borderId="0" xfId="0" applyFont="1" applyAlignment="1" applyProtection="1">
      <alignment vertical="center"/>
      <protection hidden="1"/>
    </xf>
    <xf numFmtId="164" fontId="3" fillId="0" borderId="58" xfId="2" applyFont="1" applyBorder="1" applyAlignment="1" applyProtection="1">
      <alignment horizontal="right" vertical="center"/>
      <protection hidden="1"/>
    </xf>
    <xf numFmtId="171" fontId="3" fillId="0" borderId="0" xfId="7" applyNumberFormat="1" applyFont="1" applyAlignment="1" applyProtection="1">
      <alignment vertical="center"/>
      <protection hidden="1"/>
    </xf>
    <xf numFmtId="0" fontId="14" fillId="0" borderId="0" xfId="0" applyFont="1" applyAlignment="1" applyProtection="1">
      <alignment vertical="center"/>
      <protection hidden="1"/>
    </xf>
    <xf numFmtId="164" fontId="3" fillId="0" borderId="0" xfId="2" applyFont="1" applyAlignment="1" applyProtection="1">
      <alignment vertical="center"/>
      <protection hidden="1"/>
    </xf>
    <xf numFmtId="14" fontId="56" fillId="0" borderId="0" xfId="0" applyNumberFormat="1" applyFont="1" applyBorder="1" applyAlignment="1" applyProtection="1">
      <alignment vertical="center"/>
      <protection hidden="1"/>
    </xf>
    <xf numFmtId="164" fontId="3" fillId="0" borderId="59" xfId="2" applyFont="1" applyBorder="1" applyAlignment="1" applyProtection="1">
      <alignment horizontal="right" vertical="center"/>
      <protection hidden="1"/>
    </xf>
    <xf numFmtId="164" fontId="3" fillId="0" borderId="7" xfId="2" applyFont="1" applyBorder="1" applyAlignment="1" applyProtection="1">
      <alignment vertical="center"/>
      <protection hidden="1"/>
    </xf>
    <xf numFmtId="164" fontId="3" fillId="0" borderId="0" xfId="2" applyFont="1" applyBorder="1" applyAlignment="1" applyProtection="1">
      <alignment vertical="center"/>
      <protection hidden="1"/>
    </xf>
    <xf numFmtId="164" fontId="3" fillId="0" borderId="2" xfId="2" applyFont="1" applyBorder="1" applyAlignment="1" applyProtection="1">
      <alignment vertical="center"/>
      <protection hidden="1"/>
    </xf>
    <xf numFmtId="164" fontId="3" fillId="0" borderId="3" xfId="2" applyFont="1" applyBorder="1" applyAlignment="1" applyProtection="1">
      <alignment vertical="center"/>
      <protection hidden="1"/>
    </xf>
    <xf numFmtId="164" fontId="3" fillId="0" borderId="7" xfId="2" applyFont="1" applyBorder="1" applyAlignment="1" applyProtection="1">
      <alignment horizontal="right" vertical="center"/>
      <protection hidden="1"/>
    </xf>
    <xf numFmtId="164" fontId="3" fillId="0" borderId="4" xfId="2" applyFont="1" applyBorder="1" applyAlignment="1" applyProtection="1">
      <alignment vertical="center"/>
      <protection hidden="1"/>
    </xf>
    <xf numFmtId="164" fontId="3" fillId="0" borderId="0" xfId="2" applyFont="1" applyAlignment="1" applyProtection="1">
      <alignment horizontal="right" vertical="center"/>
      <protection hidden="1"/>
    </xf>
    <xf numFmtId="2" fontId="3" fillId="0" borderId="0" xfId="0" applyNumberFormat="1" applyFont="1" applyAlignment="1" applyProtection="1">
      <alignment horizontal="right" vertical="center"/>
      <protection hidden="1"/>
    </xf>
    <xf numFmtId="10" fontId="2" fillId="0" borderId="0" xfId="0" applyNumberFormat="1" applyFont="1" applyAlignment="1" applyProtection="1">
      <alignment vertical="center"/>
      <protection hidden="1"/>
    </xf>
    <xf numFmtId="2" fontId="3" fillId="0" borderId="0" xfId="0" applyNumberFormat="1" applyFont="1" applyAlignment="1" applyProtection="1">
      <alignment horizontal="left" vertical="center"/>
      <protection hidden="1"/>
    </xf>
    <xf numFmtId="164" fontId="2" fillId="0" borderId="58" xfId="2" applyFont="1" applyBorder="1" applyAlignment="1" applyProtection="1">
      <alignment horizontal="right" vertical="center"/>
      <protection hidden="1"/>
    </xf>
    <xf numFmtId="0" fontId="8" fillId="0" borderId="0" xfId="0" applyFont="1" applyAlignment="1" applyProtection="1">
      <alignment horizontal="right" vertical="center"/>
      <protection hidden="1"/>
    </xf>
    <xf numFmtId="164" fontId="4" fillId="0" borderId="0" xfId="2" applyFont="1" applyFill="1" applyBorder="1" applyAlignment="1" applyProtection="1">
      <alignment vertical="center"/>
      <protection hidden="1"/>
    </xf>
    <xf numFmtId="0" fontId="1" fillId="0" borderId="0" xfId="0" applyFont="1" applyProtection="1">
      <protection hidden="1"/>
    </xf>
    <xf numFmtId="0" fontId="8" fillId="0" borderId="0" xfId="0" applyFont="1" applyAlignment="1" applyProtection="1">
      <alignment horizontal="center" vertical="center"/>
      <protection hidden="1"/>
    </xf>
    <xf numFmtId="0" fontId="7" fillId="0" borderId="0" xfId="0" applyFont="1" applyAlignment="1" applyProtection="1">
      <alignment vertical="center"/>
      <protection hidden="1"/>
    </xf>
    <xf numFmtId="0" fontId="20" fillId="0" borderId="60" xfId="0" applyFont="1" applyBorder="1" applyAlignment="1" applyProtection="1">
      <alignment horizontal="center" vertical="center"/>
      <protection hidden="1"/>
    </xf>
    <xf numFmtId="0" fontId="20" fillId="0" borderId="56" xfId="0" applyFont="1" applyBorder="1" applyAlignment="1" applyProtection="1">
      <alignment horizontal="center" vertical="center"/>
      <protection hidden="1"/>
    </xf>
    <xf numFmtId="0" fontId="20" fillId="0" borderId="56" xfId="0" applyFont="1" applyBorder="1" applyAlignment="1" applyProtection="1">
      <alignment horizontal="center" vertical="center" wrapText="1"/>
      <protection hidden="1"/>
    </xf>
    <xf numFmtId="14" fontId="3" fillId="0" borderId="0" xfId="0" applyNumberFormat="1" applyFont="1" applyAlignment="1" applyProtection="1">
      <alignment vertical="center"/>
      <protection hidden="1"/>
    </xf>
    <xf numFmtId="0" fontId="3" fillId="0" borderId="61" xfId="0" applyFont="1" applyBorder="1" applyAlignment="1" applyProtection="1">
      <alignment horizontal="center" vertical="center"/>
      <protection hidden="1"/>
    </xf>
    <xf numFmtId="168" fontId="3" fillId="0" borderId="62" xfId="0" applyNumberFormat="1" applyFont="1" applyBorder="1" applyAlignment="1" applyProtection="1">
      <alignment vertical="center"/>
      <protection hidden="1"/>
    </xf>
    <xf numFmtId="168" fontId="3" fillId="0" borderId="32" xfId="0" applyNumberFormat="1" applyFont="1" applyBorder="1" applyAlignment="1" applyProtection="1">
      <alignment vertical="center"/>
      <protection hidden="1"/>
    </xf>
    <xf numFmtId="168" fontId="3" fillId="0" borderId="61" xfId="0" applyNumberFormat="1" applyFont="1" applyBorder="1" applyAlignment="1" applyProtection="1">
      <alignment vertical="center"/>
      <protection hidden="1"/>
    </xf>
    <xf numFmtId="0" fontId="3" fillId="0" borderId="9" xfId="0" applyFont="1" applyBorder="1" applyAlignment="1" applyProtection="1">
      <alignment horizontal="center" vertical="center"/>
      <protection hidden="1"/>
    </xf>
    <xf numFmtId="0" fontId="3" fillId="0" borderId="32" xfId="0" applyNumberFormat="1" applyFont="1" applyBorder="1" applyAlignment="1" applyProtection="1">
      <alignment horizontal="center" vertical="center"/>
      <protection hidden="1"/>
    </xf>
    <xf numFmtId="168" fontId="3" fillId="0" borderId="9" xfId="0" applyNumberFormat="1" applyFont="1" applyBorder="1" applyAlignment="1" applyProtection="1">
      <alignment vertical="center"/>
      <protection hidden="1"/>
    </xf>
    <xf numFmtId="168" fontId="4" fillId="7" borderId="63" xfId="0" applyNumberFormat="1" applyFont="1" applyFill="1" applyBorder="1" applyAlignment="1" applyProtection="1">
      <alignment vertical="center"/>
      <protection hidden="1"/>
    </xf>
    <xf numFmtId="14" fontId="5" fillId="0" borderId="0" xfId="0" applyNumberFormat="1" applyFont="1" applyFill="1" applyBorder="1" applyAlignment="1" applyProtection="1">
      <alignment vertical="center"/>
      <protection hidden="1"/>
    </xf>
    <xf numFmtId="0" fontId="4" fillId="0" borderId="0" xfId="0" applyFont="1" applyFill="1" applyBorder="1" applyAlignment="1" applyProtection="1">
      <alignment horizontal="center" vertical="center"/>
      <protection hidden="1"/>
    </xf>
    <xf numFmtId="49" fontId="5" fillId="3" borderId="1" xfId="0" applyNumberFormat="1" applyFont="1" applyFill="1" applyBorder="1" applyAlignment="1" applyProtection="1">
      <alignment horizontal="center" vertical="center"/>
      <protection locked="0" hidden="1"/>
    </xf>
    <xf numFmtId="0" fontId="10" fillId="0" borderId="0" xfId="0" applyFont="1" applyFill="1" applyBorder="1" applyAlignment="1" applyProtection="1">
      <alignment vertical="center"/>
      <protection hidden="1"/>
    </xf>
    <xf numFmtId="0" fontId="35" fillId="0" borderId="39" xfId="0" applyFont="1" applyBorder="1" applyAlignment="1" applyProtection="1">
      <alignment horizontal="left" vertical="center"/>
      <protection hidden="1"/>
    </xf>
    <xf numFmtId="0" fontId="35" fillId="0" borderId="0" xfId="0" applyFont="1" applyAlignment="1" applyProtection="1">
      <alignment horizontal="left" vertical="center"/>
      <protection hidden="1"/>
    </xf>
    <xf numFmtId="0" fontId="3" fillId="0" borderId="0" xfId="0" applyNumberFormat="1" applyFont="1" applyFill="1" applyBorder="1" applyAlignment="1" applyProtection="1">
      <alignment horizontal="center" vertical="center"/>
      <protection hidden="1"/>
    </xf>
    <xf numFmtId="169" fontId="3" fillId="3" borderId="1" xfId="0" applyNumberFormat="1" applyFont="1" applyFill="1" applyBorder="1" applyAlignment="1" applyProtection="1">
      <alignment horizontal="center" vertical="center"/>
      <protection locked="0" hidden="1"/>
    </xf>
    <xf numFmtId="0" fontId="38" fillId="0" borderId="0" xfId="0" applyFont="1" applyBorder="1" applyAlignment="1" applyProtection="1">
      <alignment horizontal="left" vertical="center"/>
      <protection hidden="1"/>
    </xf>
    <xf numFmtId="169" fontId="3" fillId="0" borderId="0" xfId="0" applyNumberFormat="1" applyFont="1" applyFill="1" applyBorder="1" applyAlignment="1" applyProtection="1">
      <alignment horizontal="center" vertical="center"/>
      <protection locked="0" hidden="1"/>
    </xf>
    <xf numFmtId="10" fontId="8" fillId="0" borderId="0" xfId="0" applyNumberFormat="1" applyFont="1" applyFill="1" applyBorder="1" applyAlignment="1" applyProtection="1">
      <alignment horizontal="center" vertical="center"/>
      <protection locked="0" hidden="1"/>
    </xf>
    <xf numFmtId="49" fontId="3" fillId="3" borderId="1" xfId="0" applyNumberFormat="1" applyFont="1" applyFill="1" applyBorder="1" applyAlignment="1" applyProtection="1">
      <alignment horizontal="center" vertical="center"/>
      <protection locked="0" hidden="1"/>
    </xf>
    <xf numFmtId="0" fontId="3" fillId="0" borderId="1" xfId="0" applyFont="1" applyBorder="1" applyAlignment="1" applyProtection="1">
      <alignment horizontal="center" vertical="center"/>
      <protection hidden="1"/>
    </xf>
    <xf numFmtId="0" fontId="3" fillId="0" borderId="1" xfId="0" applyFont="1" applyBorder="1" applyAlignment="1" applyProtection="1">
      <alignment vertical="center"/>
      <protection hidden="1"/>
    </xf>
    <xf numFmtId="0" fontId="2" fillId="0" borderId="1" xfId="0" applyFont="1" applyFill="1" applyBorder="1" applyAlignment="1" applyProtection="1">
      <alignment horizontal="center" vertical="center"/>
      <protection hidden="1"/>
    </xf>
    <xf numFmtId="10" fontId="3" fillId="0" borderId="1" xfId="0" applyNumberFormat="1" applyFont="1" applyBorder="1" applyAlignment="1" applyProtection="1">
      <alignment horizontal="center" vertical="center"/>
      <protection hidden="1"/>
    </xf>
    <xf numFmtId="164" fontId="3" fillId="0" borderId="1" xfId="2" applyFont="1" applyFill="1" applyBorder="1" applyAlignment="1" applyProtection="1">
      <alignment horizontal="right" vertical="center"/>
      <protection hidden="1"/>
    </xf>
    <xf numFmtId="0" fontId="4" fillId="6" borderId="64" xfId="0" applyFont="1" applyFill="1" applyBorder="1" applyAlignment="1" applyProtection="1">
      <alignment vertical="center"/>
      <protection hidden="1"/>
    </xf>
    <xf numFmtId="164" fontId="4" fillId="6" borderId="4" xfId="2" applyFont="1" applyFill="1" applyBorder="1" applyAlignment="1" applyProtection="1">
      <alignment horizontal="right" vertical="center"/>
      <protection hidden="1"/>
    </xf>
    <xf numFmtId="0" fontId="3" fillId="4" borderId="0" xfId="0" applyFont="1" applyFill="1" applyBorder="1" applyAlignment="1" applyProtection="1">
      <alignment vertical="center"/>
      <protection hidden="1"/>
    </xf>
    <xf numFmtId="0" fontId="3" fillId="0" borderId="62" xfId="0" applyFont="1" applyBorder="1" applyAlignment="1" applyProtection="1">
      <alignment vertical="center"/>
      <protection hidden="1"/>
    </xf>
    <xf numFmtId="164" fontId="3" fillId="0" borderId="65" xfId="0" applyNumberFormat="1" applyFont="1" applyBorder="1" applyAlignment="1" applyProtection="1">
      <alignment horizontal="right" vertical="center"/>
      <protection hidden="1"/>
    </xf>
    <xf numFmtId="164" fontId="3" fillId="0" borderId="25" xfId="0" applyNumberFormat="1" applyFont="1" applyBorder="1" applyAlignment="1" applyProtection="1">
      <alignment horizontal="right" vertical="center"/>
      <protection hidden="1"/>
    </xf>
    <xf numFmtId="0" fontId="3" fillId="0" borderId="66" xfId="0" applyFont="1" applyBorder="1" applyAlignment="1" applyProtection="1">
      <alignment horizontal="right" vertical="center"/>
      <protection hidden="1"/>
    </xf>
    <xf numFmtId="164" fontId="2" fillId="0" borderId="32" xfId="0" applyNumberFormat="1" applyFont="1" applyBorder="1" applyAlignment="1" applyProtection="1">
      <alignment vertical="center"/>
      <protection hidden="1"/>
    </xf>
    <xf numFmtId="0" fontId="3" fillId="0" borderId="32" xfId="0" applyFont="1" applyBorder="1" applyAlignment="1" applyProtection="1">
      <alignment vertical="center"/>
      <protection hidden="1"/>
    </xf>
    <xf numFmtId="164" fontId="3" fillId="0" borderId="67" xfId="0" applyNumberFormat="1" applyFont="1" applyBorder="1" applyAlignment="1" applyProtection="1">
      <alignment horizontal="right" vertical="center"/>
      <protection hidden="1"/>
    </xf>
    <xf numFmtId="10" fontId="3" fillId="0" borderId="67" xfId="0" applyNumberFormat="1" applyFont="1" applyBorder="1" applyAlignment="1" applyProtection="1">
      <alignment horizontal="right" vertical="center"/>
      <protection hidden="1"/>
    </xf>
    <xf numFmtId="0" fontId="5" fillId="4" borderId="0" xfId="0" applyFont="1" applyFill="1" applyBorder="1" applyAlignment="1" applyProtection="1">
      <alignment vertical="center"/>
      <protection hidden="1"/>
    </xf>
    <xf numFmtId="0" fontId="3" fillId="0" borderId="25" xfId="0" applyFont="1" applyBorder="1" applyAlignment="1" applyProtection="1">
      <alignment horizontal="right" vertical="center"/>
      <protection hidden="1"/>
    </xf>
    <xf numFmtId="164" fontId="3" fillId="0" borderId="25" xfId="0" applyNumberFormat="1" applyFont="1" applyBorder="1" applyAlignment="1" applyProtection="1">
      <alignment vertical="center"/>
      <protection hidden="1"/>
    </xf>
    <xf numFmtId="10" fontId="3" fillId="0" borderId="66" xfId="0" applyNumberFormat="1" applyFont="1" applyBorder="1" applyAlignment="1" applyProtection="1">
      <alignment horizontal="right" vertical="center"/>
      <protection hidden="1"/>
    </xf>
    <xf numFmtId="164" fontId="3" fillId="0" borderId="32" xfId="0" applyNumberFormat="1" applyFont="1" applyBorder="1" applyAlignment="1" applyProtection="1">
      <alignment horizontal="right" vertical="center"/>
      <protection hidden="1"/>
    </xf>
    <xf numFmtId="2" fontId="3" fillId="0" borderId="25" xfId="0" applyNumberFormat="1" applyFont="1" applyBorder="1" applyAlignment="1" applyProtection="1">
      <alignment horizontal="right" vertical="center"/>
      <protection hidden="1"/>
    </xf>
    <xf numFmtId="164" fontId="2" fillId="0" borderId="25" xfId="0" applyNumberFormat="1" applyFont="1" applyBorder="1" applyAlignment="1" applyProtection="1">
      <alignment vertical="center"/>
      <protection hidden="1"/>
    </xf>
    <xf numFmtId="164" fontId="3" fillId="0" borderId="0" xfId="0" applyNumberFormat="1" applyFont="1" applyBorder="1" applyAlignment="1" applyProtection="1">
      <alignment vertical="center"/>
      <protection hidden="1"/>
    </xf>
    <xf numFmtId="10" fontId="3" fillId="3" borderId="66" xfId="0" applyNumberFormat="1" applyFont="1" applyFill="1" applyBorder="1" applyAlignment="1" applyProtection="1">
      <alignment horizontal="right" vertical="center"/>
      <protection hidden="1"/>
    </xf>
    <xf numFmtId="164" fontId="3" fillId="0" borderId="32" xfId="0" applyNumberFormat="1" applyFont="1" applyBorder="1" applyAlignment="1" applyProtection="1">
      <alignment vertical="center"/>
      <protection hidden="1"/>
    </xf>
    <xf numFmtId="0" fontId="3" fillId="0" borderId="64" xfId="0" applyFont="1" applyFill="1" applyBorder="1" applyAlignment="1" applyProtection="1">
      <alignment vertical="center"/>
      <protection hidden="1"/>
    </xf>
    <xf numFmtId="164" fontId="3" fillId="0" borderId="68" xfId="0" applyNumberFormat="1" applyFont="1" applyBorder="1" applyAlignment="1" applyProtection="1">
      <alignment horizontal="right" vertical="center"/>
      <protection hidden="1"/>
    </xf>
    <xf numFmtId="10" fontId="3" fillId="0" borderId="69" xfId="0" applyNumberFormat="1" applyFont="1" applyBorder="1" applyAlignment="1" applyProtection="1">
      <alignment horizontal="right" vertical="center"/>
      <protection hidden="1"/>
    </xf>
    <xf numFmtId="164" fontId="3" fillId="0" borderId="69" xfId="0" applyNumberFormat="1" applyFont="1" applyBorder="1" applyAlignment="1" applyProtection="1">
      <alignment horizontal="right" vertical="center"/>
      <protection hidden="1"/>
    </xf>
    <xf numFmtId="0" fontId="3" fillId="0" borderId="70" xfId="0" applyFont="1" applyBorder="1" applyAlignment="1" applyProtection="1">
      <alignment horizontal="right" vertical="center"/>
      <protection hidden="1"/>
    </xf>
    <xf numFmtId="164" fontId="3" fillId="0" borderId="64" xfId="0" applyNumberFormat="1" applyFont="1" applyBorder="1" applyAlignment="1" applyProtection="1">
      <alignment horizontal="right" vertical="center"/>
      <protection hidden="1"/>
    </xf>
    <xf numFmtId="164" fontId="3" fillId="0" borderId="0" xfId="0" applyNumberFormat="1" applyFont="1" applyBorder="1" applyAlignment="1" applyProtection="1">
      <alignment horizontal="right" vertical="center"/>
      <protection hidden="1"/>
    </xf>
    <xf numFmtId="0" fontId="4" fillId="6" borderId="4" xfId="0" applyFont="1" applyFill="1" applyBorder="1" applyAlignment="1" applyProtection="1">
      <alignment vertical="center"/>
      <protection hidden="1"/>
    </xf>
    <xf numFmtId="164" fontId="3" fillId="0" borderId="71" xfId="2" applyFont="1" applyBorder="1" applyAlignment="1" applyProtection="1">
      <alignment horizontal="right" vertical="center"/>
      <protection hidden="1"/>
    </xf>
    <xf numFmtId="0" fontId="15" fillId="0" borderId="0" xfId="0" applyFont="1" applyAlignment="1" applyProtection="1">
      <alignment vertical="center"/>
      <protection hidden="1"/>
    </xf>
    <xf numFmtId="0" fontId="16" fillId="0" borderId="0" xfId="0" applyFont="1" applyAlignment="1" applyProtection="1">
      <alignment vertical="center"/>
      <protection hidden="1"/>
    </xf>
    <xf numFmtId="10" fontId="3" fillId="0" borderId="0" xfId="0" applyNumberFormat="1" applyFont="1" applyBorder="1" applyAlignment="1" applyProtection="1">
      <alignment vertical="center"/>
      <protection hidden="1"/>
    </xf>
    <xf numFmtId="164" fontId="56" fillId="0" borderId="104" xfId="2" applyNumberFormat="1" applyFont="1" applyFill="1" applyBorder="1" applyAlignment="1" applyProtection="1">
      <alignment horizontal="right" vertical="center"/>
      <protection locked="0" hidden="1"/>
    </xf>
    <xf numFmtId="2" fontId="3" fillId="3" borderId="7" xfId="0" applyNumberFormat="1" applyFont="1" applyFill="1" applyBorder="1" applyAlignment="1" applyProtection="1">
      <alignment horizontal="center" vertical="center"/>
      <protection locked="0" hidden="1"/>
    </xf>
    <xf numFmtId="10" fontId="3" fillId="3" borderId="25" xfId="0" applyNumberFormat="1" applyFont="1" applyFill="1" applyBorder="1" applyAlignment="1" applyProtection="1">
      <alignment horizontal="right" vertical="center"/>
      <protection locked="0" hidden="1"/>
    </xf>
    <xf numFmtId="0" fontId="36" fillId="4" borderId="0" xfId="0" applyFont="1" applyFill="1" applyBorder="1" applyAlignment="1" applyProtection="1">
      <alignment vertical="center"/>
      <protection hidden="1"/>
    </xf>
    <xf numFmtId="44" fontId="4" fillId="6" borderId="72" xfId="3" applyFont="1" applyFill="1" applyBorder="1" applyAlignment="1" applyProtection="1">
      <alignment vertical="center"/>
      <protection hidden="1"/>
    </xf>
    <xf numFmtId="44" fontId="4" fillId="6" borderId="73" xfId="3" applyFont="1" applyFill="1" applyBorder="1" applyAlignment="1" applyProtection="1">
      <alignment vertical="center"/>
      <protection hidden="1"/>
    </xf>
    <xf numFmtId="44" fontId="4" fillId="6" borderId="63" xfId="3" applyFont="1" applyFill="1" applyBorder="1" applyAlignment="1" applyProtection="1">
      <alignment vertical="center"/>
      <protection hidden="1"/>
    </xf>
    <xf numFmtId="0" fontId="3" fillId="0" borderId="72" xfId="0" applyFont="1" applyBorder="1" applyAlignment="1" applyProtection="1">
      <alignment vertical="center"/>
      <protection hidden="1"/>
    </xf>
    <xf numFmtId="0" fontId="3" fillId="0" borderId="63" xfId="0" applyFont="1" applyBorder="1" applyAlignment="1" applyProtection="1">
      <alignment vertical="center"/>
      <protection hidden="1"/>
    </xf>
    <xf numFmtId="14" fontId="3" fillId="3" borderId="74" xfId="0" applyNumberFormat="1" applyFont="1" applyFill="1" applyBorder="1" applyAlignment="1" applyProtection="1">
      <alignment vertical="center"/>
      <protection hidden="1"/>
    </xf>
    <xf numFmtId="168" fontId="3" fillId="0" borderId="75" xfId="0" applyNumberFormat="1" applyFont="1" applyFill="1" applyBorder="1" applyAlignment="1" applyProtection="1">
      <alignment horizontal="center" vertical="center"/>
      <protection hidden="1"/>
    </xf>
    <xf numFmtId="168" fontId="3" fillId="9" borderId="76" xfId="0" applyNumberFormat="1" applyFont="1" applyFill="1" applyBorder="1" applyAlignment="1" applyProtection="1">
      <alignment horizontal="center" vertical="center"/>
      <protection hidden="1"/>
    </xf>
    <xf numFmtId="0" fontId="3" fillId="0" borderId="77" xfId="0" applyFont="1" applyBorder="1" applyAlignment="1" applyProtection="1">
      <alignment vertical="center"/>
      <protection hidden="1"/>
    </xf>
    <xf numFmtId="0" fontId="3" fillId="0" borderId="77" xfId="0" applyFont="1" applyBorder="1" applyAlignment="1" applyProtection="1">
      <alignment horizontal="center" vertical="center"/>
      <protection hidden="1"/>
    </xf>
    <xf numFmtId="172" fontId="3" fillId="0" borderId="0" xfId="0" applyNumberFormat="1" applyFont="1" applyBorder="1" applyAlignment="1" applyProtection="1">
      <alignment horizontal="center" vertical="center"/>
      <protection hidden="1"/>
    </xf>
    <xf numFmtId="0" fontId="3" fillId="0" borderId="105" xfId="0" applyFont="1" applyBorder="1" applyAlignment="1" applyProtection="1">
      <alignment vertical="center"/>
      <protection hidden="1"/>
    </xf>
    <xf numFmtId="168" fontId="3" fillId="0" borderId="105" xfId="0" applyNumberFormat="1" applyFont="1" applyFill="1" applyBorder="1" applyAlignment="1" applyProtection="1">
      <alignment horizontal="right" vertical="center"/>
      <protection hidden="1"/>
    </xf>
    <xf numFmtId="10" fontId="3" fillId="0" borderId="105" xfId="0" applyNumberFormat="1" applyFont="1" applyBorder="1" applyAlignment="1" applyProtection="1">
      <alignment horizontal="center" vertical="center"/>
      <protection hidden="1"/>
    </xf>
    <xf numFmtId="164" fontId="2" fillId="0" borderId="105" xfId="2" applyFont="1" applyFill="1" applyBorder="1" applyAlignment="1" applyProtection="1">
      <alignment horizontal="right" vertical="center"/>
      <protection hidden="1"/>
    </xf>
    <xf numFmtId="10" fontId="3" fillId="0" borderId="25" xfId="0" applyNumberFormat="1" applyFont="1" applyBorder="1" applyAlignment="1" applyProtection="1">
      <alignment horizontal="center" vertical="center"/>
      <protection hidden="1"/>
    </xf>
    <xf numFmtId="170" fontId="3" fillId="3" borderId="106" xfId="2" applyNumberFormat="1" applyFont="1" applyFill="1" applyBorder="1" applyAlignment="1" applyProtection="1">
      <alignment horizontal="center" vertical="center"/>
      <protection locked="0" hidden="1"/>
    </xf>
    <xf numFmtId="170" fontId="3" fillId="3" borderId="107" xfId="2" applyNumberFormat="1" applyFont="1" applyFill="1" applyBorder="1" applyAlignment="1" applyProtection="1">
      <alignment horizontal="center" vertical="center"/>
      <protection locked="0" hidden="1"/>
    </xf>
    <xf numFmtId="0" fontId="3" fillId="0" borderId="108" xfId="0" applyFont="1" applyBorder="1" applyAlignment="1" applyProtection="1">
      <alignment vertical="center"/>
      <protection hidden="1"/>
    </xf>
    <xf numFmtId="164" fontId="4" fillId="7" borderId="28" xfId="2" applyFont="1" applyFill="1" applyBorder="1" applyAlignment="1" applyProtection="1">
      <alignment horizontal="right" vertical="center"/>
      <protection hidden="1"/>
    </xf>
    <xf numFmtId="164" fontId="3" fillId="0" borderId="25" xfId="2" applyFont="1" applyFill="1" applyBorder="1" applyAlignment="1" applyProtection="1">
      <alignment horizontal="right" vertical="center"/>
      <protection hidden="1"/>
    </xf>
    <xf numFmtId="164" fontId="3" fillId="3" borderId="25" xfId="2" applyFont="1" applyFill="1" applyBorder="1" applyAlignment="1" applyProtection="1">
      <alignment horizontal="right" vertical="center"/>
      <protection locked="0" hidden="1"/>
    </xf>
    <xf numFmtId="164" fontId="3" fillId="0" borderId="25" xfId="2" applyFont="1" applyFill="1" applyBorder="1" applyAlignment="1" applyProtection="1">
      <alignment horizontal="right" vertical="center"/>
      <protection locked="0" hidden="1"/>
    </xf>
    <xf numFmtId="164" fontId="3" fillId="3" borderId="43" xfId="2" applyFont="1" applyFill="1" applyBorder="1" applyAlignment="1" applyProtection="1">
      <alignment horizontal="right" vertical="center"/>
      <protection locked="0" hidden="1"/>
    </xf>
    <xf numFmtId="164" fontId="3" fillId="0" borderId="78" xfId="2" applyNumberFormat="1" applyFont="1" applyFill="1" applyBorder="1" applyAlignment="1" applyProtection="1">
      <alignment horizontal="right" vertical="center"/>
      <protection hidden="1"/>
    </xf>
    <xf numFmtId="0" fontId="3" fillId="0" borderId="109" xfId="0" applyFont="1" applyFill="1" applyBorder="1" applyAlignment="1" applyProtection="1">
      <alignment vertical="center"/>
      <protection hidden="1"/>
    </xf>
    <xf numFmtId="168" fontId="3" fillId="0" borderId="110" xfId="0" applyNumberFormat="1" applyFont="1" applyBorder="1" applyAlignment="1" applyProtection="1">
      <alignment horizontal="right" vertical="center"/>
      <protection hidden="1"/>
    </xf>
    <xf numFmtId="10" fontId="3" fillId="0" borderId="110" xfId="0" applyNumberFormat="1" applyFont="1" applyBorder="1" applyAlignment="1" applyProtection="1">
      <alignment horizontal="right" vertical="center"/>
      <protection hidden="1"/>
    </xf>
    <xf numFmtId="168" fontId="3" fillId="0" borderId="111" xfId="0" applyNumberFormat="1" applyFont="1" applyBorder="1" applyAlignment="1" applyProtection="1">
      <alignment horizontal="right" vertical="center"/>
      <protection hidden="1"/>
    </xf>
    <xf numFmtId="10" fontId="3" fillId="0" borderId="112" xfId="0" applyNumberFormat="1" applyFont="1" applyBorder="1" applyAlignment="1" applyProtection="1">
      <alignment horizontal="center" vertical="center"/>
      <protection hidden="1"/>
    </xf>
    <xf numFmtId="168" fontId="2" fillId="0" borderId="113" xfId="0" applyNumberFormat="1" applyFont="1" applyBorder="1" applyAlignment="1" applyProtection="1">
      <alignment vertical="center"/>
      <protection hidden="1"/>
    </xf>
    <xf numFmtId="168" fontId="3" fillId="0" borderId="113" xfId="0" applyNumberFormat="1" applyFont="1" applyBorder="1" applyAlignment="1" applyProtection="1">
      <alignment horizontal="right" vertical="center"/>
      <protection hidden="1"/>
    </xf>
    <xf numFmtId="168" fontId="3" fillId="0" borderId="113" xfId="0" applyNumberFormat="1" applyFont="1" applyBorder="1" applyAlignment="1" applyProtection="1">
      <alignment vertical="center"/>
      <protection hidden="1"/>
    </xf>
    <xf numFmtId="0" fontId="3" fillId="0" borderId="114" xfId="0" applyFont="1" applyBorder="1" applyAlignment="1" applyProtection="1">
      <alignment vertical="center"/>
      <protection hidden="1"/>
    </xf>
    <xf numFmtId="0" fontId="13" fillId="0" borderId="115" xfId="0" applyFont="1" applyBorder="1" applyAlignment="1" applyProtection="1">
      <alignment vertical="center"/>
      <protection hidden="1"/>
    </xf>
    <xf numFmtId="0" fontId="3" fillId="0" borderId="115" xfId="0" applyFont="1" applyBorder="1" applyAlignment="1" applyProtection="1">
      <alignment vertical="center"/>
      <protection hidden="1"/>
    </xf>
    <xf numFmtId="0" fontId="4" fillId="7" borderId="116" xfId="0" applyFont="1" applyFill="1" applyBorder="1" applyAlignment="1" applyProtection="1">
      <alignment vertical="center"/>
      <protection hidden="1"/>
    </xf>
    <xf numFmtId="168" fontId="3" fillId="0" borderId="79" xfId="0" applyNumberFormat="1" applyFont="1" applyBorder="1" applyAlignment="1" applyProtection="1">
      <alignment vertical="center"/>
      <protection hidden="1"/>
    </xf>
    <xf numFmtId="0" fontId="3" fillId="0" borderId="117" xfId="0" applyFont="1" applyBorder="1" applyAlignment="1" applyProtection="1">
      <alignment horizontal="center" vertical="center"/>
      <protection hidden="1"/>
    </xf>
    <xf numFmtId="168" fontId="3" fillId="0" borderId="117" xfId="0" applyNumberFormat="1" applyFont="1" applyBorder="1" applyAlignment="1" applyProtection="1">
      <alignment vertical="center"/>
      <protection hidden="1"/>
    </xf>
    <xf numFmtId="0" fontId="3" fillId="3" borderId="117" xfId="0" applyFont="1" applyFill="1" applyBorder="1" applyAlignment="1" applyProtection="1">
      <alignment horizontal="center" vertical="center"/>
      <protection locked="0" hidden="1"/>
    </xf>
    <xf numFmtId="10" fontId="5" fillId="0" borderId="117" xfId="7" applyNumberFormat="1" applyFont="1" applyBorder="1" applyAlignment="1" applyProtection="1">
      <alignment vertical="center"/>
      <protection locked="0" hidden="1"/>
    </xf>
    <xf numFmtId="0" fontId="20" fillId="0" borderId="105" xfId="0" applyFont="1" applyBorder="1" applyAlignment="1" applyProtection="1">
      <alignment horizontal="center" vertical="center"/>
      <protection hidden="1"/>
    </xf>
    <xf numFmtId="0" fontId="20" fillId="0" borderId="105" xfId="0" applyFont="1" applyBorder="1" applyAlignment="1" applyProtection="1">
      <alignment horizontal="center" vertical="center" wrapText="1"/>
      <protection hidden="1"/>
    </xf>
    <xf numFmtId="0" fontId="3" fillId="0" borderId="118" xfId="0" applyNumberFormat="1" applyFont="1" applyBorder="1" applyAlignment="1" applyProtection="1">
      <alignment horizontal="center" vertical="center"/>
      <protection hidden="1"/>
    </xf>
    <xf numFmtId="0" fontId="3" fillId="0" borderId="119" xfId="0" applyFont="1" applyBorder="1" applyAlignment="1" applyProtection="1">
      <alignment horizontal="center" vertical="center"/>
      <protection hidden="1"/>
    </xf>
    <xf numFmtId="0" fontId="3" fillId="0" borderId="120" xfId="0" applyFont="1" applyBorder="1" applyAlignment="1" applyProtection="1">
      <alignment horizontal="center" vertical="center"/>
      <protection hidden="1"/>
    </xf>
    <xf numFmtId="0" fontId="3" fillId="0" borderId="119" xfId="0" applyNumberFormat="1" applyFont="1" applyBorder="1" applyAlignment="1" applyProtection="1">
      <alignment horizontal="center" vertical="center"/>
      <protection hidden="1"/>
    </xf>
    <xf numFmtId="168" fontId="3" fillId="0" borderId="119" xfId="0" applyNumberFormat="1" applyFont="1" applyBorder="1" applyAlignment="1" applyProtection="1">
      <alignment vertical="center"/>
      <protection hidden="1"/>
    </xf>
    <xf numFmtId="0" fontId="3" fillId="3" borderId="119" xfId="0" applyFont="1" applyFill="1" applyBorder="1" applyAlignment="1" applyProtection="1">
      <alignment horizontal="center" vertical="center"/>
      <protection locked="0" hidden="1"/>
    </xf>
    <xf numFmtId="10" fontId="5" fillId="4" borderId="119" xfId="7" applyNumberFormat="1" applyFont="1" applyFill="1" applyBorder="1" applyAlignment="1" applyProtection="1">
      <alignment vertical="center"/>
      <protection locked="0" hidden="1"/>
    </xf>
    <xf numFmtId="0" fontId="3" fillId="0" borderId="120" xfId="0" applyNumberFormat="1" applyFont="1" applyBorder="1" applyAlignment="1" applyProtection="1">
      <alignment horizontal="center" vertical="center"/>
      <protection hidden="1"/>
    </xf>
    <xf numFmtId="168" fontId="3" fillId="0" borderId="120" xfId="0" applyNumberFormat="1" applyFont="1" applyBorder="1" applyAlignment="1" applyProtection="1">
      <alignment vertical="center"/>
      <protection hidden="1"/>
    </xf>
    <xf numFmtId="0" fontId="3" fillId="3" borderId="120" xfId="0" applyFont="1" applyFill="1" applyBorder="1" applyAlignment="1" applyProtection="1">
      <alignment horizontal="center" vertical="center"/>
      <protection locked="0" hidden="1"/>
    </xf>
    <xf numFmtId="10" fontId="5" fillId="0" borderId="120" xfId="7" applyNumberFormat="1" applyFont="1" applyBorder="1" applyAlignment="1" applyProtection="1">
      <alignment vertical="center"/>
      <protection locked="0" hidden="1"/>
    </xf>
    <xf numFmtId="168" fontId="3" fillId="0" borderId="121" xfId="0" applyNumberFormat="1" applyFont="1" applyBorder="1" applyAlignment="1" applyProtection="1">
      <alignment vertical="center"/>
      <protection hidden="1"/>
    </xf>
    <xf numFmtId="14" fontId="8" fillId="0" borderId="0" xfId="0" applyNumberFormat="1" applyFont="1" applyAlignment="1" applyProtection="1">
      <alignment horizontal="center" vertical="center"/>
      <protection hidden="1"/>
    </xf>
    <xf numFmtId="14" fontId="3" fillId="0" borderId="119" xfId="0" applyNumberFormat="1" applyFont="1" applyBorder="1" applyAlignment="1" applyProtection="1">
      <alignment horizontal="center" vertical="center"/>
      <protection hidden="1"/>
    </xf>
    <xf numFmtId="14" fontId="3" fillId="0" borderId="62" xfId="0" applyNumberFormat="1" applyFont="1" applyBorder="1" applyAlignment="1" applyProtection="1">
      <alignment horizontal="center" vertical="center"/>
      <protection hidden="1"/>
    </xf>
    <xf numFmtId="0" fontId="59" fillId="0" borderId="0" xfId="0" applyNumberFormat="1" applyFont="1" applyAlignment="1" applyProtection="1">
      <alignment vertical="center"/>
      <protection hidden="1"/>
    </xf>
    <xf numFmtId="14" fontId="3" fillId="0" borderId="120" xfId="0" applyNumberFormat="1" applyFont="1" applyBorder="1" applyAlignment="1" applyProtection="1">
      <alignment horizontal="center" vertical="center"/>
      <protection hidden="1"/>
    </xf>
    <xf numFmtId="14" fontId="3" fillId="0" borderId="117" xfId="0" applyNumberFormat="1" applyFont="1" applyBorder="1" applyAlignment="1" applyProtection="1">
      <alignment horizontal="center" vertical="center"/>
      <protection hidden="1"/>
    </xf>
    <xf numFmtId="14" fontId="3" fillId="0" borderId="32" xfId="0" applyNumberFormat="1" applyFont="1" applyBorder="1" applyAlignment="1" applyProtection="1">
      <alignment horizontal="center" vertical="center"/>
      <protection hidden="1"/>
    </xf>
    <xf numFmtId="0" fontId="3" fillId="3" borderId="1" xfId="0" applyNumberFormat="1" applyFont="1" applyFill="1" applyBorder="1" applyAlignment="1" applyProtection="1">
      <alignment horizontal="center" vertical="center"/>
      <protection hidden="1"/>
    </xf>
    <xf numFmtId="14" fontId="3" fillId="3" borderId="1" xfId="0" applyNumberFormat="1" applyFont="1" applyFill="1" applyBorder="1" applyAlignment="1" applyProtection="1">
      <alignment horizontal="center" vertical="center"/>
      <protection hidden="1"/>
    </xf>
    <xf numFmtId="164" fontId="56" fillId="0" borderId="104" xfId="2" applyNumberFormat="1" applyFont="1" applyFill="1" applyBorder="1" applyAlignment="1" applyProtection="1">
      <alignment horizontal="right" vertical="center"/>
      <protection hidden="1"/>
    </xf>
    <xf numFmtId="0" fontId="3" fillId="3" borderId="1" xfId="0" applyFont="1" applyFill="1" applyBorder="1" applyAlignment="1" applyProtection="1">
      <alignment horizontal="center" vertical="center"/>
      <protection hidden="1"/>
    </xf>
    <xf numFmtId="10" fontId="3" fillId="3" borderId="1" xfId="0" applyNumberFormat="1" applyFont="1" applyFill="1" applyBorder="1" applyAlignment="1" applyProtection="1">
      <alignment horizontal="center" vertical="center"/>
      <protection hidden="1"/>
    </xf>
    <xf numFmtId="9" fontId="3" fillId="3" borderId="1" xfId="0" applyNumberFormat="1" applyFont="1" applyFill="1" applyBorder="1" applyAlignment="1" applyProtection="1">
      <alignment horizontal="center" vertical="center"/>
      <protection hidden="1"/>
    </xf>
    <xf numFmtId="10" fontId="8" fillId="3" borderId="1" xfId="0" applyNumberFormat="1" applyFont="1" applyFill="1" applyBorder="1" applyAlignment="1" applyProtection="1">
      <alignment horizontal="center" vertical="center"/>
      <protection hidden="1"/>
    </xf>
    <xf numFmtId="164" fontId="3" fillId="3" borderId="26" xfId="2" applyFont="1" applyFill="1" applyBorder="1" applyAlignment="1" applyProtection="1">
      <alignment horizontal="right" vertical="center"/>
      <protection hidden="1"/>
    </xf>
    <xf numFmtId="170" fontId="3" fillId="3" borderId="25" xfId="2" applyNumberFormat="1" applyFont="1" applyFill="1" applyBorder="1" applyAlignment="1" applyProtection="1">
      <alignment horizontal="center" vertical="center"/>
      <protection hidden="1"/>
    </xf>
    <xf numFmtId="164" fontId="3" fillId="3" borderId="74" xfId="2" applyFont="1" applyFill="1" applyBorder="1" applyAlignment="1" applyProtection="1">
      <alignment horizontal="right" vertical="center"/>
      <protection hidden="1"/>
    </xf>
    <xf numFmtId="2" fontId="3" fillId="3" borderId="7" xfId="0" applyNumberFormat="1" applyFont="1" applyFill="1" applyBorder="1" applyAlignment="1" applyProtection="1">
      <alignment horizontal="center" vertical="center"/>
      <protection hidden="1"/>
    </xf>
    <xf numFmtId="164" fontId="3" fillId="3" borderId="7" xfId="2" applyFont="1" applyFill="1" applyBorder="1" applyAlignment="1" applyProtection="1">
      <alignment vertical="center"/>
      <protection hidden="1"/>
    </xf>
    <xf numFmtId="10" fontId="5" fillId="4" borderId="119" xfId="7" applyNumberFormat="1" applyFont="1" applyFill="1" applyBorder="1" applyAlignment="1" applyProtection="1">
      <alignment vertical="center"/>
      <protection hidden="1"/>
    </xf>
    <xf numFmtId="10" fontId="5" fillId="0" borderId="120" xfId="7" applyNumberFormat="1" applyFont="1" applyBorder="1" applyAlignment="1" applyProtection="1">
      <alignment vertical="center"/>
      <protection hidden="1"/>
    </xf>
    <xf numFmtId="0" fontId="3" fillId="3" borderId="7" xfId="0" applyFont="1" applyFill="1" applyBorder="1" applyAlignment="1" applyProtection="1">
      <alignment horizontal="center" vertical="center"/>
      <protection locked="0" hidden="1"/>
    </xf>
    <xf numFmtId="10" fontId="3" fillId="3" borderId="7" xfId="0" applyNumberFormat="1" applyFont="1" applyFill="1" applyBorder="1" applyAlignment="1" applyProtection="1">
      <alignment horizontal="center" vertical="center"/>
      <protection locked="0" hidden="1"/>
    </xf>
    <xf numFmtId="0" fontId="56" fillId="0" borderId="0" xfId="0" applyFont="1" applyAlignment="1" applyProtection="1">
      <alignment vertical="center"/>
      <protection hidden="1"/>
    </xf>
    <xf numFmtId="0" fontId="13" fillId="0" borderId="0" xfId="0" applyFont="1" applyBorder="1" applyAlignment="1" applyProtection="1">
      <alignment vertical="center"/>
      <protection hidden="1"/>
    </xf>
    <xf numFmtId="164" fontId="2" fillId="0" borderId="0" xfId="2" applyFont="1" applyBorder="1" applyAlignment="1" applyProtection="1">
      <alignment horizontal="right" vertical="center"/>
      <protection hidden="1"/>
    </xf>
    <xf numFmtId="0" fontId="3" fillId="0" borderId="28" xfId="0" applyFont="1" applyBorder="1" applyAlignment="1" applyProtection="1">
      <alignment vertical="center"/>
    </xf>
    <xf numFmtId="0" fontId="4" fillId="7" borderId="7" xfId="0" applyFont="1" applyFill="1" applyBorder="1" applyAlignment="1" applyProtection="1">
      <alignment horizontal="center" vertical="center"/>
    </xf>
    <xf numFmtId="9" fontId="3" fillId="3" borderId="107" xfId="2" applyNumberFormat="1" applyFont="1" applyFill="1" applyBorder="1" applyAlignment="1" applyProtection="1">
      <alignment horizontal="center" vertical="center"/>
      <protection locked="0" hidden="1"/>
    </xf>
    <xf numFmtId="164" fontId="3" fillId="3" borderId="107" xfId="2" applyNumberFormat="1" applyFont="1" applyFill="1" applyBorder="1" applyAlignment="1" applyProtection="1">
      <alignment horizontal="right" vertical="center"/>
      <protection hidden="1"/>
    </xf>
    <xf numFmtId="0" fontId="3" fillId="0" borderId="0" xfId="0" applyFont="1" applyBorder="1" applyAlignment="1" applyProtection="1">
      <alignment vertical="center"/>
    </xf>
    <xf numFmtId="9" fontId="3" fillId="0" borderId="122" xfId="0" applyNumberFormat="1" applyFont="1" applyBorder="1" applyAlignment="1" applyProtection="1">
      <alignment horizontal="center" vertical="center"/>
    </xf>
    <xf numFmtId="164" fontId="3" fillId="0" borderId="123" xfId="2" applyNumberFormat="1" applyFont="1" applyFill="1" applyBorder="1" applyAlignment="1" applyProtection="1">
      <alignment horizontal="right" vertical="center"/>
    </xf>
    <xf numFmtId="14" fontId="3" fillId="0" borderId="7" xfId="0" applyNumberFormat="1" applyFont="1" applyBorder="1" applyAlignment="1" applyProtection="1">
      <alignment horizontal="center" vertical="center"/>
      <protection hidden="1"/>
    </xf>
    <xf numFmtId="168" fontId="3" fillId="9" borderId="80" xfId="0" applyNumberFormat="1" applyFont="1" applyFill="1" applyBorder="1" applyAlignment="1" applyProtection="1">
      <alignment horizontal="center" vertical="center"/>
      <protection hidden="1"/>
    </xf>
    <xf numFmtId="0" fontId="3" fillId="0" borderId="81" xfId="0" applyNumberFormat="1" applyFont="1" applyFill="1" applyBorder="1" applyAlignment="1" applyProtection="1">
      <alignment horizontal="left" vertical="center"/>
      <protection hidden="1"/>
    </xf>
    <xf numFmtId="0" fontId="3" fillId="0" borderId="82" xfId="0" applyNumberFormat="1" applyFont="1" applyFill="1" applyBorder="1" applyAlignment="1" applyProtection="1">
      <alignment horizontal="center" vertical="center"/>
      <protection hidden="1"/>
    </xf>
    <xf numFmtId="0" fontId="8" fillId="0" borderId="83" xfId="0" applyNumberFormat="1" applyFont="1" applyFill="1" applyBorder="1" applyAlignment="1" applyProtection="1">
      <alignment horizontal="left" vertical="center" wrapText="1"/>
      <protection hidden="1"/>
    </xf>
    <xf numFmtId="168" fontId="3" fillId="9" borderId="84" xfId="0" applyNumberFormat="1" applyFont="1" applyFill="1" applyBorder="1" applyAlignment="1" applyProtection="1">
      <alignment horizontal="center" vertical="center"/>
      <protection hidden="1"/>
    </xf>
    <xf numFmtId="168" fontId="3" fillId="0" borderId="1" xfId="2" applyNumberFormat="1" applyFont="1" applyFill="1" applyBorder="1" applyAlignment="1" applyProtection="1">
      <alignment horizontal="center" vertical="center"/>
      <protection hidden="1"/>
    </xf>
    <xf numFmtId="168" fontId="8" fillId="0" borderId="124" xfId="0" applyNumberFormat="1" applyFont="1" applyFill="1" applyBorder="1" applyAlignment="1" applyProtection="1">
      <alignment horizontal="center" vertical="center"/>
      <protection hidden="1"/>
    </xf>
    <xf numFmtId="168" fontId="8" fillId="0" borderId="125" xfId="0" applyNumberFormat="1" applyFont="1" applyFill="1" applyBorder="1" applyAlignment="1" applyProtection="1">
      <alignment horizontal="center" vertical="center"/>
      <protection hidden="1"/>
    </xf>
    <xf numFmtId="168" fontId="8" fillId="0" borderId="126" xfId="0" applyNumberFormat="1" applyFont="1" applyFill="1" applyBorder="1" applyAlignment="1" applyProtection="1">
      <alignment horizontal="center" vertical="center"/>
      <protection hidden="1"/>
    </xf>
    <xf numFmtId="168" fontId="8" fillId="9" borderId="125" xfId="0" applyNumberFormat="1" applyFont="1" applyFill="1" applyBorder="1" applyAlignment="1" applyProtection="1">
      <alignment horizontal="center" vertical="center"/>
      <protection hidden="1"/>
    </xf>
    <xf numFmtId="168" fontId="8" fillId="0" borderId="127" xfId="0" applyNumberFormat="1" applyFont="1" applyFill="1" applyBorder="1" applyAlignment="1" applyProtection="1">
      <alignment horizontal="center" vertical="center"/>
      <protection hidden="1"/>
    </xf>
    <xf numFmtId="0" fontId="12" fillId="0" borderId="0" xfId="0" applyFont="1" applyAlignment="1" applyProtection="1">
      <alignment vertical="center"/>
      <protection hidden="1"/>
    </xf>
    <xf numFmtId="0" fontId="19" fillId="0" borderId="0" xfId="0" applyFont="1" applyAlignment="1" applyProtection="1">
      <alignment vertical="center"/>
      <protection hidden="1"/>
    </xf>
    <xf numFmtId="0" fontId="60" fillId="0" borderId="0" xfId="0" applyNumberFormat="1" applyFont="1" applyAlignment="1" applyProtection="1">
      <alignment vertical="center"/>
      <protection hidden="1"/>
    </xf>
    <xf numFmtId="0" fontId="60" fillId="0" borderId="0" xfId="0" applyFont="1" applyAlignment="1" applyProtection="1">
      <alignment vertical="center"/>
      <protection hidden="1"/>
    </xf>
    <xf numFmtId="168" fontId="3" fillId="0" borderId="64" xfId="0" applyNumberFormat="1" applyFont="1" applyBorder="1" applyAlignment="1" applyProtection="1">
      <alignment vertical="center"/>
      <protection hidden="1"/>
    </xf>
    <xf numFmtId="10" fontId="3" fillId="0" borderId="85" xfId="0" applyNumberFormat="1" applyFont="1" applyBorder="1" applyAlignment="1" applyProtection="1">
      <alignment vertical="center"/>
      <protection hidden="1"/>
    </xf>
    <xf numFmtId="10" fontId="5" fillId="0" borderId="128" xfId="7" applyNumberFormat="1" applyFont="1" applyBorder="1" applyAlignment="1" applyProtection="1">
      <alignment vertical="center"/>
      <protection hidden="1"/>
    </xf>
    <xf numFmtId="168" fontId="3" fillId="0" borderId="86" xfId="0" applyNumberFormat="1" applyFont="1" applyBorder="1" applyAlignment="1" applyProtection="1">
      <alignment vertical="center"/>
      <protection hidden="1"/>
    </xf>
    <xf numFmtId="14" fontId="3" fillId="0" borderId="64" xfId="0" applyNumberFormat="1" applyFont="1" applyBorder="1" applyAlignment="1" applyProtection="1">
      <alignment horizontal="center" vertical="center"/>
      <protection hidden="1"/>
    </xf>
    <xf numFmtId="165" fontId="3" fillId="3" borderId="55" xfId="0" applyNumberFormat="1" applyFont="1" applyFill="1" applyBorder="1" applyAlignment="1" applyProtection="1">
      <alignment horizontal="center" vertical="center"/>
      <protection hidden="1"/>
    </xf>
    <xf numFmtId="10" fontId="3" fillId="3" borderId="25" xfId="0" applyNumberFormat="1" applyFont="1" applyFill="1" applyBorder="1" applyAlignment="1" applyProtection="1">
      <alignment horizontal="center" vertical="center"/>
      <protection hidden="1"/>
    </xf>
    <xf numFmtId="168" fontId="3" fillId="0" borderId="67" xfId="0" applyNumberFormat="1" applyFont="1" applyFill="1" applyBorder="1" applyAlignment="1" applyProtection="1">
      <alignment horizontal="center" vertical="center"/>
      <protection hidden="1"/>
    </xf>
    <xf numFmtId="10" fontId="3" fillId="0" borderId="66" xfId="0" applyNumberFormat="1" applyFont="1" applyBorder="1" applyAlignment="1" applyProtection="1">
      <alignment horizontal="center" vertical="center"/>
      <protection hidden="1"/>
    </xf>
    <xf numFmtId="0" fontId="2" fillId="0" borderId="87" xfId="0" applyFont="1" applyFill="1" applyBorder="1" applyAlignment="1" applyProtection="1">
      <alignment horizontal="center" vertical="center"/>
      <protection hidden="1"/>
    </xf>
    <xf numFmtId="168" fontId="3" fillId="0" borderId="67" xfId="0" applyNumberFormat="1" applyFont="1" applyFill="1" applyBorder="1" applyAlignment="1" applyProtection="1">
      <alignment horizontal="right" vertical="center"/>
      <protection hidden="1"/>
    </xf>
    <xf numFmtId="170" fontId="3" fillId="3" borderId="67" xfId="2" applyNumberFormat="1" applyFont="1" applyFill="1" applyBorder="1" applyAlignment="1" applyProtection="1">
      <alignment horizontal="center" vertical="center"/>
      <protection locked="0" hidden="1"/>
    </xf>
    <xf numFmtId="2" fontId="57" fillId="3" borderId="55" xfId="0" applyNumberFormat="1" applyFont="1" applyFill="1" applyBorder="1" applyAlignment="1" applyProtection="1">
      <alignment horizontal="center" vertical="center"/>
      <protection hidden="1"/>
    </xf>
    <xf numFmtId="164" fontId="3" fillId="3" borderId="45" xfId="2" applyFont="1" applyFill="1" applyBorder="1" applyAlignment="1" applyProtection="1">
      <alignment horizontal="right" vertical="center"/>
      <protection locked="0" hidden="1"/>
    </xf>
    <xf numFmtId="0" fontId="3" fillId="0" borderId="7" xfId="0" applyFont="1" applyBorder="1" applyAlignment="1" applyProtection="1">
      <alignment vertical="center"/>
      <protection locked="0" hidden="1"/>
    </xf>
    <xf numFmtId="0" fontId="4" fillId="6" borderId="72" xfId="0" applyFont="1" applyFill="1" applyBorder="1" applyAlignment="1" applyProtection="1">
      <alignment horizontal="center" vertical="center"/>
      <protection hidden="1"/>
    </xf>
    <xf numFmtId="0" fontId="4" fillId="6" borderId="63" xfId="0" applyFont="1" applyFill="1" applyBorder="1" applyAlignment="1" applyProtection="1">
      <alignment horizontal="center" vertical="center"/>
      <protection hidden="1"/>
    </xf>
    <xf numFmtId="0" fontId="20" fillId="0" borderId="105" xfId="0" applyFont="1" applyBorder="1" applyAlignment="1" applyProtection="1">
      <alignment horizontal="center" vertical="center" wrapText="1"/>
      <protection hidden="1"/>
    </xf>
    <xf numFmtId="164" fontId="4" fillId="7" borderId="132" xfId="2" applyFont="1" applyFill="1" applyBorder="1" applyAlignment="1" applyProtection="1">
      <alignment horizontal="center" vertical="center"/>
      <protection hidden="1"/>
    </xf>
    <xf numFmtId="164" fontId="4" fillId="7" borderId="133" xfId="2" applyFont="1" applyFill="1" applyBorder="1" applyAlignment="1" applyProtection="1">
      <alignment horizontal="center" vertical="center"/>
      <protection hidden="1"/>
    </xf>
    <xf numFmtId="0" fontId="3" fillId="0" borderId="114" xfId="0" applyFont="1" applyBorder="1" applyAlignment="1" applyProtection="1">
      <alignment vertical="center" wrapText="1"/>
      <protection hidden="1"/>
    </xf>
    <xf numFmtId="0" fontId="3" fillId="0" borderId="32" xfId="0" applyFont="1" applyBorder="1" applyAlignment="1" applyProtection="1">
      <alignment vertical="center" wrapText="1"/>
      <protection hidden="1"/>
    </xf>
    <xf numFmtId="0" fontId="45" fillId="4" borderId="36" xfId="6" applyFont="1" applyFill="1" applyBorder="1" applyAlignment="1" applyProtection="1">
      <alignment horizontal="left" vertical="center"/>
      <protection hidden="1"/>
    </xf>
    <xf numFmtId="0" fontId="61" fillId="0" borderId="0" xfId="0" applyFont="1" applyBorder="1" applyAlignment="1" applyProtection="1">
      <alignment horizontal="right" vertical="center"/>
      <protection hidden="1"/>
    </xf>
    <xf numFmtId="0" fontId="5" fillId="0" borderId="0" xfId="0" applyFont="1" applyFill="1" applyBorder="1" applyAlignment="1" applyProtection="1">
      <alignment horizontal="center" vertical="center"/>
      <protection hidden="1"/>
    </xf>
    <xf numFmtId="10" fontId="35" fillId="4" borderId="0" xfId="0" applyNumberFormat="1" applyFont="1" applyFill="1" applyBorder="1" applyAlignment="1" applyProtection="1">
      <alignment horizontal="center" vertical="center"/>
      <protection hidden="1"/>
    </xf>
    <xf numFmtId="0" fontId="3" fillId="3" borderId="88" xfId="0" applyFont="1" applyFill="1" applyBorder="1" applyAlignment="1" applyProtection="1">
      <alignment horizontal="left" vertical="center"/>
      <protection locked="0" hidden="1"/>
    </xf>
    <xf numFmtId="0" fontId="3" fillId="3" borderId="89" xfId="0" applyFont="1" applyFill="1" applyBorder="1" applyAlignment="1" applyProtection="1">
      <alignment horizontal="left" vertical="center"/>
      <protection locked="0" hidden="1"/>
    </xf>
    <xf numFmtId="0" fontId="3" fillId="3" borderId="90" xfId="0" applyFont="1" applyFill="1" applyBorder="1" applyAlignment="1" applyProtection="1">
      <alignment horizontal="left" vertical="center"/>
      <protection locked="0" hidden="1"/>
    </xf>
    <xf numFmtId="0" fontId="4" fillId="7" borderId="27" xfId="0" applyFont="1" applyFill="1" applyBorder="1" applyAlignment="1" applyProtection="1">
      <alignment horizontal="center" vertical="center"/>
      <protection hidden="1"/>
    </xf>
    <xf numFmtId="0" fontId="4" fillId="7" borderId="2" xfId="0" applyFont="1" applyFill="1" applyBorder="1" applyAlignment="1" applyProtection="1">
      <alignment horizontal="center" vertical="center"/>
      <protection hidden="1"/>
    </xf>
    <xf numFmtId="0" fontId="4" fillId="7" borderId="8" xfId="0" applyFont="1" applyFill="1" applyBorder="1" applyAlignment="1" applyProtection="1">
      <alignment horizontal="center" vertical="center"/>
      <protection hidden="1"/>
    </xf>
    <xf numFmtId="0" fontId="4" fillId="7" borderId="10" xfId="0" applyFont="1" applyFill="1" applyBorder="1" applyAlignment="1" applyProtection="1">
      <alignment horizontal="center" vertical="center"/>
      <protection hidden="1"/>
    </xf>
    <xf numFmtId="0" fontId="3" fillId="0" borderId="0" xfId="0" applyFont="1" applyBorder="1" applyAlignment="1" applyProtection="1">
      <alignment horizontal="left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0" borderId="28" xfId="0" applyFont="1" applyBorder="1" applyAlignment="1" applyProtection="1">
      <alignment horizontal="right" vertical="center"/>
      <protection hidden="1"/>
    </xf>
    <xf numFmtId="0" fontId="13" fillId="0" borderId="129" xfId="0" applyFont="1" applyBorder="1" applyAlignment="1" applyProtection="1">
      <alignment horizontal="right" vertical="center"/>
      <protection hidden="1"/>
    </xf>
    <xf numFmtId="0" fontId="13" fillId="0" borderId="130" xfId="0" applyFont="1" applyBorder="1" applyAlignment="1" applyProtection="1">
      <alignment horizontal="right" vertical="center"/>
      <protection hidden="1"/>
    </xf>
    <xf numFmtId="0" fontId="13" fillId="0" borderId="131" xfId="0" applyFont="1" applyBorder="1" applyAlignment="1" applyProtection="1">
      <alignment horizontal="right" vertical="center"/>
      <protection hidden="1"/>
    </xf>
    <xf numFmtId="0" fontId="4" fillId="7" borderId="38" xfId="0" applyFont="1" applyFill="1" applyBorder="1" applyAlignment="1" applyProtection="1">
      <alignment horizontal="center" vertical="center"/>
      <protection hidden="1"/>
    </xf>
    <xf numFmtId="0" fontId="4" fillId="7" borderId="35" xfId="0" applyFont="1" applyFill="1" applyBorder="1" applyAlignment="1" applyProtection="1">
      <alignment horizontal="center" vertical="center"/>
      <protection hidden="1"/>
    </xf>
    <xf numFmtId="164" fontId="13" fillId="0" borderId="129" xfId="0" applyNumberFormat="1" applyFont="1" applyBorder="1" applyAlignment="1" applyProtection="1">
      <alignment horizontal="right" vertical="center"/>
      <protection hidden="1"/>
    </xf>
    <xf numFmtId="164" fontId="13" fillId="0" borderId="130" xfId="0" applyNumberFormat="1" applyFont="1" applyBorder="1" applyAlignment="1" applyProtection="1">
      <alignment horizontal="right" vertical="center"/>
      <protection hidden="1"/>
    </xf>
    <xf numFmtId="164" fontId="13" fillId="0" borderId="131" xfId="0" applyNumberFormat="1" applyFont="1" applyBorder="1" applyAlignment="1" applyProtection="1">
      <alignment horizontal="right" vertical="center"/>
      <protection hidden="1"/>
    </xf>
    <xf numFmtId="0" fontId="12" fillId="0" borderId="0" xfId="0" applyFont="1" applyAlignment="1" applyProtection="1">
      <alignment horizontal="left" vertical="center"/>
      <protection hidden="1"/>
    </xf>
    <xf numFmtId="164" fontId="4" fillId="7" borderId="72" xfId="2" applyFont="1" applyFill="1" applyBorder="1" applyAlignment="1" applyProtection="1">
      <alignment horizontal="center" vertical="center"/>
      <protection hidden="1"/>
    </xf>
    <xf numFmtId="164" fontId="4" fillId="7" borderId="73" xfId="2" applyFont="1" applyFill="1" applyBorder="1" applyAlignment="1" applyProtection="1">
      <alignment horizontal="center" vertical="center"/>
      <protection hidden="1"/>
    </xf>
    <xf numFmtId="0" fontId="20" fillId="0" borderId="56" xfId="0" applyFont="1" applyBorder="1" applyAlignment="1" applyProtection="1">
      <alignment horizontal="center" vertical="center" wrapText="1"/>
      <protection hidden="1"/>
    </xf>
    <xf numFmtId="0" fontId="20" fillId="0" borderId="57" xfId="0" applyFont="1" applyBorder="1" applyAlignment="1" applyProtection="1">
      <alignment horizontal="center" vertical="center" wrapText="1"/>
      <protection hidden="1"/>
    </xf>
    <xf numFmtId="0" fontId="13" fillId="0" borderId="35" xfId="0" applyFont="1" applyBorder="1" applyAlignment="1" applyProtection="1">
      <alignment horizontal="right" vertical="center"/>
      <protection hidden="1"/>
    </xf>
    <xf numFmtId="0" fontId="52" fillId="0" borderId="0" xfId="0" applyFont="1" applyAlignment="1" applyProtection="1">
      <alignment horizontal="center" vertical="center"/>
      <protection hidden="1"/>
    </xf>
    <xf numFmtId="0" fontId="4" fillId="7" borderId="63" xfId="0" applyFont="1" applyFill="1" applyBorder="1" applyAlignment="1" applyProtection="1">
      <alignment horizontal="center" vertical="center"/>
      <protection hidden="1"/>
    </xf>
    <xf numFmtId="0" fontId="4" fillId="7" borderId="7" xfId="0" applyFont="1" applyFill="1" applyBorder="1" applyAlignment="1" applyProtection="1">
      <alignment horizontal="center" vertical="center"/>
      <protection hidden="1"/>
    </xf>
    <xf numFmtId="0" fontId="4" fillId="7" borderId="91" xfId="0" applyFont="1" applyFill="1" applyBorder="1" applyAlignment="1" applyProtection="1">
      <alignment horizontal="center" vertical="center"/>
      <protection hidden="1"/>
    </xf>
    <xf numFmtId="0" fontId="4" fillId="7" borderId="73" xfId="0" applyFont="1" applyFill="1" applyBorder="1" applyAlignment="1" applyProtection="1">
      <alignment horizontal="center" vertical="center"/>
      <protection hidden="1"/>
    </xf>
    <xf numFmtId="0" fontId="3" fillId="3" borderId="88" xfId="0" applyFont="1" applyFill="1" applyBorder="1" applyAlignment="1" applyProtection="1">
      <alignment horizontal="left" vertical="center"/>
      <protection hidden="1"/>
    </xf>
    <xf numFmtId="0" fontId="3" fillId="3" borderId="89" xfId="0" applyFont="1" applyFill="1" applyBorder="1" applyAlignment="1" applyProtection="1">
      <alignment horizontal="left" vertical="center"/>
      <protection hidden="1"/>
    </xf>
    <xf numFmtId="0" fontId="3" fillId="3" borderId="90" xfId="0" applyFont="1" applyFill="1" applyBorder="1" applyAlignment="1" applyProtection="1">
      <alignment horizontal="left" vertical="center"/>
      <protection hidden="1"/>
    </xf>
    <xf numFmtId="0" fontId="19" fillId="0" borderId="0" xfId="0" applyFont="1" applyAlignment="1" applyProtection="1">
      <alignment horizontal="right" vertical="center"/>
      <protection hidden="1"/>
    </xf>
    <xf numFmtId="0" fontId="4" fillId="6" borderId="1" xfId="0" applyFont="1" applyFill="1" applyBorder="1" applyAlignment="1" applyProtection="1">
      <alignment horizontal="center" vertical="center"/>
      <protection hidden="1"/>
    </xf>
    <xf numFmtId="0" fontId="4" fillId="6" borderId="62" xfId="0" applyFont="1" applyFill="1" applyBorder="1" applyAlignment="1" applyProtection="1">
      <alignment horizontal="center" vertical="center"/>
      <protection hidden="1"/>
    </xf>
    <xf numFmtId="0" fontId="21" fillId="5" borderId="0" xfId="0" applyFont="1" applyFill="1" applyBorder="1" applyAlignment="1">
      <alignment horizontal="center" vertical="center"/>
    </xf>
    <xf numFmtId="0" fontId="21" fillId="5" borderId="0" xfId="0" applyFont="1" applyFill="1" applyAlignment="1">
      <alignment horizontal="center" vertical="center"/>
    </xf>
    <xf numFmtId="0" fontId="4" fillId="7" borderId="92" xfId="0" applyFont="1" applyFill="1" applyBorder="1" applyAlignment="1" applyProtection="1">
      <alignment horizontal="center" vertical="center"/>
      <protection hidden="1"/>
    </xf>
    <xf numFmtId="0" fontId="4" fillId="7" borderId="93" xfId="0" applyFont="1" applyFill="1" applyBorder="1" applyAlignment="1" applyProtection="1">
      <alignment horizontal="center" vertical="center"/>
      <protection hidden="1"/>
    </xf>
    <xf numFmtId="0" fontId="4" fillId="7" borderId="94" xfId="0" applyFont="1" applyFill="1" applyBorder="1" applyAlignment="1" applyProtection="1">
      <alignment horizontal="center" vertical="center"/>
      <protection hidden="1"/>
    </xf>
    <xf numFmtId="0" fontId="17" fillId="6" borderId="95" xfId="0" applyFont="1" applyFill="1" applyBorder="1" applyAlignment="1" applyProtection="1">
      <alignment horizontal="center" vertical="center"/>
      <protection hidden="1"/>
    </xf>
    <xf numFmtId="0" fontId="17" fillId="6" borderId="96" xfId="0" applyFont="1" applyFill="1" applyBorder="1" applyAlignment="1" applyProtection="1">
      <alignment horizontal="center" vertical="center"/>
      <protection hidden="1"/>
    </xf>
    <xf numFmtId="0" fontId="17" fillId="6" borderId="97" xfId="0" applyFont="1" applyFill="1" applyBorder="1" applyAlignment="1" applyProtection="1">
      <alignment horizontal="center" vertical="center"/>
      <protection hidden="1"/>
    </xf>
    <xf numFmtId="0" fontId="15" fillId="4" borderId="77" xfId="0" applyFont="1" applyFill="1" applyBorder="1" applyAlignment="1" applyProtection="1">
      <alignment horizontal="center" vertical="center"/>
      <protection hidden="1"/>
    </xf>
    <xf numFmtId="0" fontId="15" fillId="4" borderId="2" xfId="0" applyFont="1" applyFill="1" applyBorder="1" applyAlignment="1" applyProtection="1">
      <alignment horizontal="center" vertical="center"/>
      <protection hidden="1"/>
    </xf>
    <xf numFmtId="0" fontId="15" fillId="4" borderId="98" xfId="0" applyFont="1" applyFill="1" applyBorder="1" applyAlignment="1" applyProtection="1">
      <alignment horizontal="center" vertical="center"/>
      <protection hidden="1"/>
    </xf>
    <xf numFmtId="0" fontId="15" fillId="4" borderId="99" xfId="0" applyFont="1" applyFill="1" applyBorder="1" applyAlignment="1" applyProtection="1">
      <alignment horizontal="center" vertical="center"/>
      <protection hidden="1"/>
    </xf>
    <xf numFmtId="0" fontId="4" fillId="7" borderId="100" xfId="0" applyFont="1" applyFill="1" applyBorder="1" applyAlignment="1" applyProtection="1">
      <alignment horizontal="center" vertical="center"/>
      <protection hidden="1"/>
    </xf>
    <xf numFmtId="0" fontId="4" fillId="7" borderId="101" xfId="0" applyFont="1" applyFill="1" applyBorder="1" applyAlignment="1" applyProtection="1">
      <alignment horizontal="center" vertical="center"/>
      <protection hidden="1"/>
    </xf>
    <xf numFmtId="0" fontId="4" fillId="7" borderId="102" xfId="0" applyFont="1" applyFill="1" applyBorder="1" applyAlignment="1" applyProtection="1">
      <alignment horizontal="center" vertical="center"/>
      <protection hidden="1"/>
    </xf>
    <xf numFmtId="0" fontId="5" fillId="5" borderId="7" xfId="0" applyFont="1" applyFill="1" applyBorder="1" applyAlignment="1" applyProtection="1">
      <alignment horizontal="center" vertical="center"/>
      <protection hidden="1"/>
    </xf>
    <xf numFmtId="0" fontId="3" fillId="0" borderId="7" xfId="0" applyFont="1" applyBorder="1" applyAlignment="1" applyProtection="1">
      <alignment horizontal="center" vertical="center"/>
      <protection hidden="1"/>
    </xf>
    <xf numFmtId="164" fontId="3" fillId="8" borderId="103" xfId="2" applyFont="1" applyFill="1" applyBorder="1" applyAlignment="1" applyProtection="1">
      <alignment horizontal="center" vertical="center"/>
      <protection hidden="1"/>
    </xf>
    <xf numFmtId="164" fontId="3" fillId="8" borderId="36" xfId="2" applyFont="1" applyFill="1" applyBorder="1" applyAlignment="1" applyProtection="1">
      <alignment horizontal="center" vertical="center"/>
      <protection hidden="1"/>
    </xf>
    <xf numFmtId="164" fontId="3" fillId="8" borderId="29" xfId="2" applyFont="1" applyFill="1" applyBorder="1" applyAlignment="1" applyProtection="1">
      <alignment horizontal="center" vertical="center"/>
      <protection hidden="1"/>
    </xf>
    <xf numFmtId="0" fontId="4" fillId="6" borderId="2" xfId="0" applyFont="1" applyFill="1" applyBorder="1" applyAlignment="1" applyProtection="1">
      <alignment horizontal="center" vertical="center" wrapText="1"/>
      <protection hidden="1"/>
    </xf>
    <xf numFmtId="0" fontId="4" fillId="6" borderId="3" xfId="0" applyFont="1" applyFill="1" applyBorder="1" applyAlignment="1" applyProtection="1">
      <alignment horizontal="center" vertical="center" wrapText="1"/>
      <protection hidden="1"/>
    </xf>
    <xf numFmtId="0" fontId="4" fillId="6" borderId="4" xfId="0" applyFont="1" applyFill="1" applyBorder="1" applyAlignment="1" applyProtection="1">
      <alignment horizontal="center" vertical="center" wrapText="1"/>
      <protection hidden="1"/>
    </xf>
    <xf numFmtId="0" fontId="3" fillId="0" borderId="72" xfId="0" applyFont="1" applyBorder="1" applyAlignment="1" applyProtection="1">
      <alignment horizontal="center" vertical="center"/>
      <protection hidden="1"/>
    </xf>
    <xf numFmtId="0" fontId="3" fillId="0" borderId="73" xfId="0" applyFont="1" applyBorder="1" applyAlignment="1" applyProtection="1">
      <alignment horizontal="center" vertical="center"/>
      <protection hidden="1"/>
    </xf>
    <xf numFmtId="0" fontId="3" fillId="0" borderId="63" xfId="0" applyFont="1" applyBorder="1" applyAlignment="1" applyProtection="1">
      <alignment horizontal="center" vertical="center"/>
      <protection hidden="1"/>
    </xf>
  </cellXfs>
  <cellStyles count="9">
    <cellStyle name="Lien hypertexte" xfId="1" builtinId="8"/>
    <cellStyle name="Milliers" xfId="2" builtinId="3"/>
    <cellStyle name="Monétaire" xfId="3" builtinId="4"/>
    <cellStyle name="Monétaire 2" xfId="4" xr:uid="{00000000-0005-0000-0000-000003000000}"/>
    <cellStyle name="Normal" xfId="0" builtinId="0"/>
    <cellStyle name="Normal 2" xfId="5" xr:uid="{00000000-0005-0000-0000-000005000000}"/>
    <cellStyle name="Normal_Feuil1" xfId="6" xr:uid="{00000000-0005-0000-0000-000006000000}"/>
    <cellStyle name="Pourcentage" xfId="7" builtinId="5"/>
    <cellStyle name="Pourcentage 2" xfId="8" xr:uid="{00000000-0005-0000-0000-000008000000}"/>
  </cellStyles>
  <dxfs count="32"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ndense val="0"/>
        <extend val="0"/>
        <color indexed="10"/>
      </font>
      <fill>
        <patternFill patternType="none">
          <bgColor indexed="65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22"/>
        </patternFill>
      </fill>
    </dxf>
    <dxf>
      <font>
        <color theme="1"/>
      </font>
      <fill>
        <patternFill>
          <bgColor theme="0" tint="-0.24994659260841701"/>
        </patternFill>
      </fill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ont>
        <color theme="1"/>
      </font>
      <fill>
        <patternFill>
          <bgColor theme="0" tint="-0.24994659260841701"/>
        </patternFill>
      </fill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ill>
        <patternFill patternType="mediumGray">
          <fgColor indexed="56"/>
          <bgColor indexed="65"/>
        </patternFill>
      </fill>
    </dxf>
    <dxf>
      <font>
        <color theme="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theme="1"/>
      </font>
      <fill>
        <patternFill>
          <bgColor theme="0"/>
        </patternFill>
      </fill>
    </dxf>
    <dxf>
      <font>
        <color theme="1"/>
      </font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 patternType="mediumGray">
          <fgColor indexed="56"/>
        </patternFill>
      </fill>
    </dxf>
    <dxf>
      <font>
        <condense val="0"/>
        <extend val="0"/>
        <color auto="1"/>
      </font>
      <fill>
        <patternFill>
          <bgColor indexed="22"/>
        </patternFill>
      </fill>
    </dxf>
    <dxf>
      <font>
        <color theme="0"/>
      </font>
      <fill>
        <patternFill patternType="none">
          <bgColor indexed="65"/>
        </patternFill>
      </fill>
      <border>
        <left/>
        <right/>
        <top/>
        <bottom/>
      </border>
    </dxf>
    <dxf>
      <font>
        <color theme="1"/>
      </font>
      <fill>
        <patternFill>
          <bgColor theme="0" tint="-0.24994659260841701"/>
        </patternFill>
      </fill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ont>
        <color theme="1"/>
      </font>
      <fill>
        <patternFill>
          <bgColor theme="0" tint="-0.24994659260841701"/>
        </patternFill>
      </fill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ill>
        <patternFill patternType="mediumGray">
          <fgColor indexed="56"/>
          <bgColor indexed="65"/>
        </patternFill>
      </fill>
    </dxf>
    <dxf>
      <font>
        <color theme="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ill>
        <patternFill>
          <bgColor rgb="FFFF000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</dxf>
    <dxf>
      <font>
        <color rgb="FF969696"/>
      </font>
      <fill>
        <patternFill>
          <bgColor rgb="FFC0C0C0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ill>
        <patternFill patternType="mediumGray"/>
      </fill>
    </dxf>
    <dxf>
      <font>
        <condense val="0"/>
        <extend val="0"/>
        <color auto="1"/>
      </font>
      <fill>
        <patternFill patternType="mediumGray">
          <fgColor indexed="56"/>
        </patternFill>
      </fill>
    </dxf>
    <dxf>
      <font>
        <condense val="0"/>
        <extend val="0"/>
        <color auto="1"/>
      </font>
      <fill>
        <patternFill patternType="mediumGray">
          <fgColor indexed="56"/>
        </patternFill>
      </fill>
    </dxf>
    <dxf>
      <font>
        <condense val="0"/>
        <extend val="0"/>
        <color auto="1"/>
      </font>
      <fill>
        <patternFill patternType="mediumGray">
          <fgColor indexed="5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4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914400</xdr:colOff>
      <xdr:row>5</xdr:row>
      <xdr:rowOff>152400</xdr:rowOff>
    </xdr:to>
    <xdr:pic>
      <xdr:nvPicPr>
        <xdr:cNvPr id="20490" name="Image 1">
          <a:extLst>
            <a:ext uri="{FF2B5EF4-FFF2-40B4-BE49-F238E27FC236}">
              <a16:creationId xmlns:a16="http://schemas.microsoft.com/office/drawing/2014/main" id="{147AFD87-BF5D-4800-81EE-1CF4CCC521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1440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1219200</xdr:colOff>
      <xdr:row>73</xdr:row>
      <xdr:rowOff>9525</xdr:rowOff>
    </xdr:from>
    <xdr:to>
      <xdr:col>3</xdr:col>
      <xdr:colOff>1504950</xdr:colOff>
      <xdr:row>74</xdr:row>
      <xdr:rowOff>9525</xdr:rowOff>
    </xdr:to>
    <xdr:sp macro="" textlink="">
      <xdr:nvSpPr>
        <xdr:cNvPr id="20491" name="Rectangle 200">
          <a:extLst>
            <a:ext uri="{FF2B5EF4-FFF2-40B4-BE49-F238E27FC236}">
              <a16:creationId xmlns:a16="http://schemas.microsoft.com/office/drawing/2014/main" id="{57EF51D4-5099-4077-B8D8-BC92C0AA31E8}"/>
            </a:ext>
          </a:extLst>
        </xdr:cNvPr>
        <xdr:cNvSpPr>
          <a:spLocks noChangeArrowheads="1"/>
        </xdr:cNvSpPr>
      </xdr:nvSpPr>
      <xdr:spPr bwMode="auto">
        <a:xfrm>
          <a:off x="3381375" y="10553700"/>
          <a:ext cx="952500" cy="1619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 fPrintsWithSheet="0"/>
  </xdr:twoCellAnchor>
  <xdr:twoCellAnchor>
    <xdr:from>
      <xdr:col>0</xdr:col>
      <xdr:colOff>2714625</xdr:colOff>
      <xdr:row>57</xdr:row>
      <xdr:rowOff>66675</xdr:rowOff>
    </xdr:from>
    <xdr:to>
      <xdr:col>1</xdr:col>
      <xdr:colOff>1323975</xdr:colOff>
      <xdr:row>58</xdr:row>
      <xdr:rowOff>247650</xdr:rowOff>
    </xdr:to>
    <xdr:sp macro="" textlink="">
      <xdr:nvSpPr>
        <xdr:cNvPr id="20492" name="Rectangle 61">
          <a:extLst>
            <a:ext uri="{FF2B5EF4-FFF2-40B4-BE49-F238E27FC236}">
              <a16:creationId xmlns:a16="http://schemas.microsoft.com/office/drawing/2014/main" id="{5E632A21-E974-41CB-97AF-7756A7CE74A6}"/>
            </a:ext>
          </a:extLst>
        </xdr:cNvPr>
        <xdr:cNvSpPr>
          <a:spLocks noChangeArrowheads="1"/>
        </xdr:cNvSpPr>
      </xdr:nvSpPr>
      <xdr:spPr bwMode="auto">
        <a:xfrm>
          <a:off x="1752600" y="8010525"/>
          <a:ext cx="847725" cy="17145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 fPrintsWithSheet="0"/>
  </xdr:twoCellAnchor>
  <xdr:twoCellAnchor>
    <xdr:from>
      <xdr:col>5</xdr:col>
      <xdr:colOff>0</xdr:colOff>
      <xdr:row>48</xdr:row>
      <xdr:rowOff>9525</xdr:rowOff>
    </xdr:from>
    <xdr:to>
      <xdr:col>6</xdr:col>
      <xdr:colOff>0</xdr:colOff>
      <xdr:row>49</xdr:row>
      <xdr:rowOff>9525</xdr:rowOff>
    </xdr:to>
    <xdr:sp macro="" textlink="">
      <xdr:nvSpPr>
        <xdr:cNvPr id="20493" name="Rectangle 56">
          <a:extLst>
            <a:ext uri="{FF2B5EF4-FFF2-40B4-BE49-F238E27FC236}">
              <a16:creationId xmlns:a16="http://schemas.microsoft.com/office/drawing/2014/main" id="{06EE8B6E-8FEC-4A67-8593-3CE016B6EEE1}"/>
            </a:ext>
          </a:extLst>
        </xdr:cNvPr>
        <xdr:cNvSpPr>
          <a:spLocks noChangeArrowheads="1"/>
        </xdr:cNvSpPr>
      </xdr:nvSpPr>
      <xdr:spPr bwMode="auto">
        <a:xfrm>
          <a:off x="5153025" y="6829425"/>
          <a:ext cx="800100" cy="1619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 fPrintsWithSheet="0"/>
  </xdr:twoCellAnchor>
  <xdr:twoCellAnchor>
    <xdr:from>
      <xdr:col>3</xdr:col>
      <xdr:colOff>0</xdr:colOff>
      <xdr:row>48</xdr:row>
      <xdr:rowOff>0</xdr:rowOff>
    </xdr:from>
    <xdr:to>
      <xdr:col>4</xdr:col>
      <xdr:colOff>0</xdr:colOff>
      <xdr:row>49</xdr:row>
      <xdr:rowOff>0</xdr:rowOff>
    </xdr:to>
    <xdr:sp macro="" textlink="">
      <xdr:nvSpPr>
        <xdr:cNvPr id="20494" name="Rectangle 57">
          <a:extLst>
            <a:ext uri="{FF2B5EF4-FFF2-40B4-BE49-F238E27FC236}">
              <a16:creationId xmlns:a16="http://schemas.microsoft.com/office/drawing/2014/main" id="{AFD652D3-3805-4FFF-BB8C-73DF1B8B6087}"/>
            </a:ext>
          </a:extLst>
        </xdr:cNvPr>
        <xdr:cNvSpPr>
          <a:spLocks noChangeArrowheads="1"/>
        </xdr:cNvSpPr>
      </xdr:nvSpPr>
      <xdr:spPr bwMode="auto">
        <a:xfrm>
          <a:off x="3381375" y="6819900"/>
          <a:ext cx="952500" cy="1619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 fPrintsWithSheet="0"/>
  </xdr:twoCellAnchor>
  <xdr:twoCellAnchor>
    <xdr:from>
      <xdr:col>0</xdr:col>
      <xdr:colOff>0</xdr:colOff>
      <xdr:row>48</xdr:row>
      <xdr:rowOff>0</xdr:rowOff>
    </xdr:from>
    <xdr:to>
      <xdr:col>1</xdr:col>
      <xdr:colOff>0</xdr:colOff>
      <xdr:row>49</xdr:row>
      <xdr:rowOff>0</xdr:rowOff>
    </xdr:to>
    <xdr:sp macro="" textlink="">
      <xdr:nvSpPr>
        <xdr:cNvPr id="20495" name="Rectangle 58">
          <a:extLst>
            <a:ext uri="{FF2B5EF4-FFF2-40B4-BE49-F238E27FC236}">
              <a16:creationId xmlns:a16="http://schemas.microsoft.com/office/drawing/2014/main" id="{E78A3770-CBE3-4D13-8D2A-306333D8B870}"/>
            </a:ext>
          </a:extLst>
        </xdr:cNvPr>
        <xdr:cNvSpPr>
          <a:spLocks noChangeArrowheads="1"/>
        </xdr:cNvSpPr>
      </xdr:nvSpPr>
      <xdr:spPr bwMode="auto">
        <a:xfrm>
          <a:off x="0" y="6819900"/>
          <a:ext cx="1752600" cy="1619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 fPrintsWithSheet="0"/>
  </xdr:twoCellAnchor>
  <xdr:twoCellAnchor>
    <xdr:from>
      <xdr:col>0</xdr:col>
      <xdr:colOff>9525</xdr:colOff>
      <xdr:row>25</xdr:row>
      <xdr:rowOff>0</xdr:rowOff>
    </xdr:from>
    <xdr:to>
      <xdr:col>1</xdr:col>
      <xdr:colOff>9525</xdr:colOff>
      <xdr:row>26</xdr:row>
      <xdr:rowOff>0</xdr:rowOff>
    </xdr:to>
    <xdr:sp macro="" textlink="">
      <xdr:nvSpPr>
        <xdr:cNvPr id="20496" name="Rectangle 66">
          <a:extLst>
            <a:ext uri="{FF2B5EF4-FFF2-40B4-BE49-F238E27FC236}">
              <a16:creationId xmlns:a16="http://schemas.microsoft.com/office/drawing/2014/main" id="{76BD5154-6A46-47D7-82DE-22CED7E50798}"/>
            </a:ext>
          </a:extLst>
        </xdr:cNvPr>
        <xdr:cNvSpPr>
          <a:spLocks noChangeArrowheads="1"/>
        </xdr:cNvSpPr>
      </xdr:nvSpPr>
      <xdr:spPr bwMode="auto">
        <a:xfrm>
          <a:off x="9525" y="3228975"/>
          <a:ext cx="1752600" cy="1619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 fPrintsWithSheet="0"/>
  </xdr:twoCellAnchor>
  <xdr:twoCellAnchor>
    <xdr:from>
      <xdr:col>3</xdr:col>
      <xdr:colOff>0</xdr:colOff>
      <xdr:row>25</xdr:row>
      <xdr:rowOff>18184</xdr:rowOff>
    </xdr:from>
    <xdr:to>
      <xdr:col>4</xdr:col>
      <xdr:colOff>0</xdr:colOff>
      <xdr:row>26</xdr:row>
      <xdr:rowOff>10737</xdr:rowOff>
    </xdr:to>
    <xdr:sp macro="" textlink="">
      <xdr:nvSpPr>
        <xdr:cNvPr id="20497" name="Rectangle 65">
          <a:extLst>
            <a:ext uri="{FF2B5EF4-FFF2-40B4-BE49-F238E27FC236}">
              <a16:creationId xmlns:a16="http://schemas.microsoft.com/office/drawing/2014/main" id="{FC73E939-F55D-4C25-AD85-8CE357B6E6B0}"/>
            </a:ext>
          </a:extLst>
        </xdr:cNvPr>
        <xdr:cNvSpPr>
          <a:spLocks noChangeArrowheads="1"/>
        </xdr:cNvSpPr>
      </xdr:nvSpPr>
      <xdr:spPr bwMode="auto">
        <a:xfrm>
          <a:off x="3377045" y="3265343"/>
          <a:ext cx="952500" cy="157076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 fPrintsWithSheet="0"/>
  </xdr:twoCellAnchor>
  <xdr:twoCellAnchor>
    <xdr:from>
      <xdr:col>9</xdr:col>
      <xdr:colOff>685800</xdr:colOff>
      <xdr:row>27</xdr:row>
      <xdr:rowOff>209550</xdr:rowOff>
    </xdr:from>
    <xdr:to>
      <xdr:col>12</xdr:col>
      <xdr:colOff>733425</xdr:colOff>
      <xdr:row>35</xdr:row>
      <xdr:rowOff>209550</xdr:rowOff>
    </xdr:to>
    <xdr:grpSp>
      <xdr:nvGrpSpPr>
        <xdr:cNvPr id="20498" name="Group 343">
          <a:extLst>
            <a:ext uri="{FF2B5EF4-FFF2-40B4-BE49-F238E27FC236}">
              <a16:creationId xmlns:a16="http://schemas.microsoft.com/office/drawing/2014/main" id="{9DD84754-C60C-4AB0-ADDF-91B27678D7E5}"/>
            </a:ext>
          </a:extLst>
        </xdr:cNvPr>
        <xdr:cNvGrpSpPr>
          <a:grpSpLocks/>
        </xdr:cNvGrpSpPr>
      </xdr:nvGrpSpPr>
      <xdr:grpSpPr bwMode="auto">
        <a:xfrm>
          <a:off x="8605982" y="3784600"/>
          <a:ext cx="3143538" cy="1316182"/>
          <a:chOff x="655" y="77"/>
          <a:chExt cx="315" cy="139"/>
        </a:xfrm>
      </xdr:grpSpPr>
      <xdr:sp macro="" textlink="">
        <xdr:nvSpPr>
          <xdr:cNvPr id="2392" name="Text Box 344">
            <a:extLst>
              <a:ext uri="{FF2B5EF4-FFF2-40B4-BE49-F238E27FC236}">
                <a16:creationId xmlns:a16="http://schemas.microsoft.com/office/drawing/2014/main" id="{5FB241DF-CB76-481C-8730-5CEAA4FB3579}"/>
              </a:ext>
            </a:extLst>
          </xdr:cNvPr>
          <xdr:cNvSpPr txBox="1">
            <a:spLocks noChangeArrowheads="1"/>
          </xdr:cNvSpPr>
        </xdr:nvSpPr>
        <xdr:spPr bwMode="auto">
          <a:xfrm>
            <a:off x="655" y="77"/>
            <a:ext cx="229" cy="139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19050">
            <a:solidFill>
              <a:srgbClr xmlns:mc="http://schemas.openxmlformats.org/markup-compatibility/2006" xmlns:a14="http://schemas.microsoft.com/office/drawing/2010/main" val="FF6600" mc:Ignorable="a14" a14:legacySpreadsheetColorIndex="53"/>
            </a:solidFill>
            <a:miter lim="800000"/>
            <a:headEnd/>
            <a:tailEnd/>
          </a:ln>
        </xdr:spPr>
        <xdr:txBody>
          <a:bodyPr vertOverflow="clip" wrap="square" lIns="27432" tIns="27432" rIns="0" bIns="0" anchor="t" upright="1"/>
          <a:lstStyle/>
          <a:p>
            <a:pPr algn="l" rtl="0">
              <a:defRPr sz="1000"/>
            </a:pPr>
            <a:r>
              <a:rPr lang="fr-FR" sz="900" b="0" i="0" u="none" strike="noStrike" baseline="0">
                <a:solidFill>
                  <a:srgbClr val="000080"/>
                </a:solidFill>
                <a:latin typeface="Arial Narrow"/>
              </a:rPr>
              <a:t>               </a:t>
            </a:r>
            <a:r>
              <a:rPr lang="fr-FR" sz="1200" b="1" i="0" u="none" strike="noStrike" baseline="0">
                <a:solidFill>
                  <a:srgbClr val="FF6600"/>
                </a:solidFill>
                <a:latin typeface="Arial Narrow"/>
              </a:rPr>
              <a:t>       UTILISATION</a:t>
            </a:r>
            <a:endParaRPr lang="fr-FR" sz="900" b="0" i="0" u="none" strike="noStrike" baseline="0">
              <a:solidFill>
                <a:srgbClr val="000080"/>
              </a:solidFill>
              <a:latin typeface="Arial Narrow"/>
            </a:endParaRPr>
          </a:p>
          <a:p>
            <a:pPr algn="l" rtl="0">
              <a:defRPr sz="1000"/>
            </a:pPr>
            <a:r>
              <a:rPr lang="fr-FR" sz="900" b="1" i="0" u="none" strike="noStrike" baseline="0">
                <a:solidFill>
                  <a:srgbClr val="808080"/>
                </a:solidFill>
                <a:latin typeface="Arial Narrow"/>
              </a:rPr>
              <a:t>Pour remplir cette fiche de simulation : </a:t>
            </a:r>
            <a:endParaRPr lang="fr-FR" sz="900" b="0" i="0" u="none" strike="noStrike" baseline="0">
              <a:solidFill>
                <a:srgbClr val="808080"/>
              </a:solidFill>
              <a:latin typeface="Arial Narrow"/>
            </a:endParaRPr>
          </a:p>
          <a:p>
            <a:pPr algn="l" rtl="0">
              <a:defRPr sz="1000"/>
            </a:pPr>
            <a:r>
              <a:rPr lang="fr-FR" sz="900" b="0" i="0" u="none" strike="noStrike" baseline="0">
                <a:solidFill>
                  <a:srgbClr val="808080"/>
                </a:solidFill>
                <a:latin typeface="Arial Narrow"/>
              </a:rPr>
              <a:t>1. les cellule </a:t>
            </a:r>
            <a:r>
              <a:rPr lang="fr-FR" sz="900" b="1" i="0" u="none" strike="noStrike" baseline="0">
                <a:solidFill>
                  <a:srgbClr val="808080"/>
                </a:solidFill>
                <a:latin typeface="Arial Narrow"/>
              </a:rPr>
              <a:t>grisées</a:t>
            </a:r>
            <a:r>
              <a:rPr lang="fr-FR" sz="900" b="0" i="0" u="none" strike="noStrike" baseline="0">
                <a:solidFill>
                  <a:srgbClr val="808080"/>
                </a:solidFill>
                <a:latin typeface="Arial Narrow"/>
              </a:rPr>
              <a:t> sont à saisir</a:t>
            </a:r>
          </a:p>
          <a:p>
            <a:pPr algn="l" rtl="0">
              <a:defRPr sz="1000"/>
            </a:pPr>
            <a:r>
              <a:rPr lang="fr-FR" sz="900" b="0" i="0" u="none" strike="noStrike" baseline="0">
                <a:solidFill>
                  <a:srgbClr val="808080"/>
                </a:solidFill>
                <a:latin typeface="Arial Narrow"/>
              </a:rPr>
              <a:t>2. en approchant le pointeur de la souris sur les cellules avec un </a:t>
            </a:r>
            <a:r>
              <a:rPr lang="fr-FR" sz="900" b="1" i="0" u="none" strike="noStrike" baseline="0">
                <a:solidFill>
                  <a:srgbClr val="808080"/>
                </a:solidFill>
                <a:latin typeface="Arial Narrow"/>
              </a:rPr>
              <a:t>onglet rouge</a:t>
            </a:r>
            <a:r>
              <a:rPr lang="fr-FR" sz="900" b="0" i="0" u="none" strike="noStrike" baseline="0">
                <a:solidFill>
                  <a:srgbClr val="808080"/>
                </a:solidFill>
                <a:latin typeface="Arial Narrow"/>
              </a:rPr>
              <a:t> :</a:t>
            </a:r>
            <a:br>
              <a:rPr lang="fr-FR" sz="900" b="0" i="0" u="none" strike="noStrike" baseline="0">
                <a:solidFill>
                  <a:srgbClr val="808080"/>
                </a:solidFill>
                <a:latin typeface="Arial Narrow"/>
              </a:rPr>
            </a:br>
            <a:endParaRPr lang="fr-FR" sz="900" b="0" i="0" u="none" strike="noStrike" baseline="0">
              <a:solidFill>
                <a:srgbClr val="808080"/>
              </a:solidFill>
              <a:latin typeface="Arial Narrow"/>
            </a:endParaRPr>
          </a:p>
          <a:p>
            <a:pPr algn="l" rtl="0">
              <a:defRPr sz="1000"/>
            </a:pPr>
            <a:r>
              <a:rPr lang="fr-FR" sz="900" b="0" i="0" u="none" strike="noStrike" baseline="0">
                <a:solidFill>
                  <a:srgbClr val="808080"/>
                </a:solidFill>
                <a:latin typeface="Arial Narrow"/>
              </a:rPr>
              <a:t>une fenêtre de commentaire apparaît qui explique comment saisir les informations. </a:t>
            </a:r>
          </a:p>
          <a:p>
            <a:pPr algn="l" rtl="0">
              <a:defRPr sz="1000"/>
            </a:pPr>
            <a:endParaRPr lang="fr-FR" sz="900" b="0" i="0" u="none" strike="noStrike" baseline="0">
              <a:solidFill>
                <a:srgbClr val="808080"/>
              </a:solidFill>
              <a:latin typeface="Arial Narrow"/>
            </a:endParaRPr>
          </a:p>
        </xdr:txBody>
      </xdr:sp>
      <xdr:pic>
        <xdr:nvPicPr>
          <xdr:cNvPr id="20500" name="Picture 345">
            <a:extLst>
              <a:ext uri="{FF2B5EF4-FFF2-40B4-BE49-F238E27FC236}">
                <a16:creationId xmlns:a16="http://schemas.microsoft.com/office/drawing/2014/main" id="{6B242699-ECC4-49E9-B632-20E04EE7E10C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802" y="143"/>
            <a:ext cx="72" cy="18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808080" mc:Ignorable="a14" a14:legacySpreadsheetColorIndex="23"/>
          </a:solidFill>
          <a:ln w="19050">
            <a:solidFill>
              <a:srgbClr xmlns:mc="http://schemas.openxmlformats.org/markup-compatibility/2006" xmlns:a14="http://schemas.microsoft.com/office/drawing/2010/main" val="FF6600" mc:Ignorable="a14" a14:legacySpreadsheetColorIndex="53"/>
            </a:solidFill>
            <a:miter lim="800000"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pic>
      <xdr:pic>
        <xdr:nvPicPr>
          <xdr:cNvPr id="20501" name="Picture 346">
            <a:extLst>
              <a:ext uri="{FF2B5EF4-FFF2-40B4-BE49-F238E27FC236}">
                <a16:creationId xmlns:a16="http://schemas.microsoft.com/office/drawing/2014/main" id="{62FF4C42-0A0C-42A3-81CE-2C6D21976293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5040" t="18439" b="18439"/>
          <a:stretch>
            <a:fillRect/>
          </a:stretch>
        </xdr:blipFill>
        <xdr:spPr bwMode="auto">
          <a:xfrm>
            <a:off x="874" y="132"/>
            <a:ext cx="96" cy="18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0C0C0" mc:Ignorable="a14" a14:legacySpreadsheetColorIndex="22"/>
          </a:solidFill>
          <a:ln w="19050">
            <a:solidFill>
              <a:srgbClr xmlns:mc="http://schemas.openxmlformats.org/markup-compatibility/2006" xmlns:a14="http://schemas.microsoft.com/office/drawing/2010/main" val="FF6600" mc:Ignorable="a14" a14:legacySpreadsheetColorIndex="53"/>
            </a:solidFill>
            <a:miter lim="800000"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55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8731" name="Rectangle 60">
          <a:extLst>
            <a:ext uri="{FF2B5EF4-FFF2-40B4-BE49-F238E27FC236}">
              <a16:creationId xmlns:a16="http://schemas.microsoft.com/office/drawing/2014/main" id="{BBD1A56B-5279-40DC-981E-83472FD18967}"/>
            </a:ext>
          </a:extLst>
        </xdr:cNvPr>
        <xdr:cNvSpPr>
          <a:spLocks noChangeArrowheads="1"/>
        </xdr:cNvSpPr>
      </xdr:nvSpPr>
      <xdr:spPr bwMode="auto">
        <a:xfrm>
          <a:off x="1752600" y="7829550"/>
          <a:ext cx="847725" cy="17145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 fPrintsWithSheet="0"/>
  </xdr:twoCellAnchor>
  <xdr:twoCellAnchor>
    <xdr:from>
      <xdr:col>1</xdr:col>
      <xdr:colOff>0</xdr:colOff>
      <xdr:row>57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18732" name="Rectangle 61">
          <a:extLst>
            <a:ext uri="{FF2B5EF4-FFF2-40B4-BE49-F238E27FC236}">
              <a16:creationId xmlns:a16="http://schemas.microsoft.com/office/drawing/2014/main" id="{13CEDCBB-0861-4908-8E73-E0FF9192FFE4}"/>
            </a:ext>
          </a:extLst>
        </xdr:cNvPr>
        <xdr:cNvSpPr>
          <a:spLocks noChangeArrowheads="1"/>
        </xdr:cNvSpPr>
      </xdr:nvSpPr>
      <xdr:spPr bwMode="auto">
        <a:xfrm>
          <a:off x="1752600" y="8039100"/>
          <a:ext cx="847725" cy="17145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 fPrintsWithSheet="0"/>
  </xdr:twoCellAnchor>
  <xdr:twoCellAnchor>
    <xdr:from>
      <xdr:col>5</xdr:col>
      <xdr:colOff>0</xdr:colOff>
      <xdr:row>43</xdr:row>
      <xdr:rowOff>0</xdr:rowOff>
    </xdr:from>
    <xdr:to>
      <xdr:col>6</xdr:col>
      <xdr:colOff>0</xdr:colOff>
      <xdr:row>44</xdr:row>
      <xdr:rowOff>0</xdr:rowOff>
    </xdr:to>
    <xdr:sp macro="" textlink="">
      <xdr:nvSpPr>
        <xdr:cNvPr id="18733" name="Rectangle 56">
          <a:extLst>
            <a:ext uri="{FF2B5EF4-FFF2-40B4-BE49-F238E27FC236}">
              <a16:creationId xmlns:a16="http://schemas.microsoft.com/office/drawing/2014/main" id="{67A63902-E5F6-435E-A32C-48461997E8B0}"/>
            </a:ext>
          </a:extLst>
        </xdr:cNvPr>
        <xdr:cNvSpPr>
          <a:spLocks noChangeArrowheads="1"/>
        </xdr:cNvSpPr>
      </xdr:nvSpPr>
      <xdr:spPr bwMode="auto">
        <a:xfrm>
          <a:off x="5153025" y="6486525"/>
          <a:ext cx="800100" cy="1619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 fPrintsWithSheet="0"/>
  </xdr:twoCellAnchor>
  <xdr:twoCellAnchor>
    <xdr:from>
      <xdr:col>3</xdr:col>
      <xdr:colOff>0</xdr:colOff>
      <xdr:row>43</xdr:row>
      <xdr:rowOff>0</xdr:rowOff>
    </xdr:from>
    <xdr:to>
      <xdr:col>4</xdr:col>
      <xdr:colOff>0</xdr:colOff>
      <xdr:row>44</xdr:row>
      <xdr:rowOff>0</xdr:rowOff>
    </xdr:to>
    <xdr:sp macro="" textlink="">
      <xdr:nvSpPr>
        <xdr:cNvPr id="18734" name="Rectangle 57">
          <a:extLst>
            <a:ext uri="{FF2B5EF4-FFF2-40B4-BE49-F238E27FC236}">
              <a16:creationId xmlns:a16="http://schemas.microsoft.com/office/drawing/2014/main" id="{F6E1045E-5DF5-4FE9-BE5C-081126BF7E5D}"/>
            </a:ext>
          </a:extLst>
        </xdr:cNvPr>
        <xdr:cNvSpPr>
          <a:spLocks noChangeArrowheads="1"/>
        </xdr:cNvSpPr>
      </xdr:nvSpPr>
      <xdr:spPr bwMode="auto">
        <a:xfrm>
          <a:off x="3381375" y="6486525"/>
          <a:ext cx="952500" cy="1619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 fPrintsWithSheet="0"/>
  </xdr:twoCellAnchor>
  <xdr:twoCellAnchor>
    <xdr:from>
      <xdr:col>0</xdr:col>
      <xdr:colOff>0</xdr:colOff>
      <xdr:row>43</xdr:row>
      <xdr:rowOff>0</xdr:rowOff>
    </xdr:from>
    <xdr:to>
      <xdr:col>1</xdr:col>
      <xdr:colOff>0</xdr:colOff>
      <xdr:row>44</xdr:row>
      <xdr:rowOff>0</xdr:rowOff>
    </xdr:to>
    <xdr:sp macro="" textlink="">
      <xdr:nvSpPr>
        <xdr:cNvPr id="18735" name="Rectangle 58">
          <a:extLst>
            <a:ext uri="{FF2B5EF4-FFF2-40B4-BE49-F238E27FC236}">
              <a16:creationId xmlns:a16="http://schemas.microsoft.com/office/drawing/2014/main" id="{07A55998-BCEB-415E-A09C-06336C386217}"/>
            </a:ext>
          </a:extLst>
        </xdr:cNvPr>
        <xdr:cNvSpPr>
          <a:spLocks noChangeArrowheads="1"/>
        </xdr:cNvSpPr>
      </xdr:nvSpPr>
      <xdr:spPr bwMode="auto">
        <a:xfrm>
          <a:off x="0" y="6486525"/>
          <a:ext cx="1752600" cy="1619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 fPrintsWithSheet="0"/>
  </xdr:twoCellAnchor>
  <xdr:twoCellAnchor>
    <xdr:from>
      <xdr:col>0</xdr:col>
      <xdr:colOff>0</xdr:colOff>
      <xdr:row>22</xdr:row>
      <xdr:rowOff>0</xdr:rowOff>
    </xdr:from>
    <xdr:to>
      <xdr:col>1</xdr:col>
      <xdr:colOff>0</xdr:colOff>
      <xdr:row>23</xdr:row>
      <xdr:rowOff>0</xdr:rowOff>
    </xdr:to>
    <xdr:sp macro="" textlink="">
      <xdr:nvSpPr>
        <xdr:cNvPr id="18736" name="Rectangle 66">
          <a:extLst>
            <a:ext uri="{FF2B5EF4-FFF2-40B4-BE49-F238E27FC236}">
              <a16:creationId xmlns:a16="http://schemas.microsoft.com/office/drawing/2014/main" id="{42EB92B4-BB19-4D02-9FE8-61E3890AB6D0}"/>
            </a:ext>
          </a:extLst>
        </xdr:cNvPr>
        <xdr:cNvSpPr>
          <a:spLocks noChangeArrowheads="1"/>
        </xdr:cNvSpPr>
      </xdr:nvSpPr>
      <xdr:spPr bwMode="auto">
        <a:xfrm>
          <a:off x="0" y="3086100"/>
          <a:ext cx="1752600" cy="1619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 fPrintsWithSheet="0"/>
  </xdr:twoCellAnchor>
  <xdr:twoCellAnchor>
    <xdr:from>
      <xdr:col>0</xdr:col>
      <xdr:colOff>0</xdr:colOff>
      <xdr:row>0</xdr:row>
      <xdr:rowOff>0</xdr:rowOff>
    </xdr:from>
    <xdr:to>
      <xdr:col>0</xdr:col>
      <xdr:colOff>828675</xdr:colOff>
      <xdr:row>2</xdr:row>
      <xdr:rowOff>238125</xdr:rowOff>
    </xdr:to>
    <xdr:pic>
      <xdr:nvPicPr>
        <xdr:cNvPr id="18737" name="Picture 125" descr="logo_cnrs_2009_filet_15x15mm">
          <a:extLst>
            <a:ext uri="{FF2B5EF4-FFF2-40B4-BE49-F238E27FC236}">
              <a16:creationId xmlns:a16="http://schemas.microsoft.com/office/drawing/2014/main" id="{DE59C315-BF74-43FB-8BC5-EC110377B2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2867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685800</xdr:colOff>
      <xdr:row>24</xdr:row>
      <xdr:rowOff>209550</xdr:rowOff>
    </xdr:from>
    <xdr:to>
      <xdr:col>12</xdr:col>
      <xdr:colOff>733425</xdr:colOff>
      <xdr:row>32</xdr:row>
      <xdr:rowOff>209550</xdr:rowOff>
    </xdr:to>
    <xdr:grpSp>
      <xdr:nvGrpSpPr>
        <xdr:cNvPr id="18738" name="Group 343">
          <a:extLst>
            <a:ext uri="{FF2B5EF4-FFF2-40B4-BE49-F238E27FC236}">
              <a16:creationId xmlns:a16="http://schemas.microsoft.com/office/drawing/2014/main" id="{EB5AF8E2-2253-4107-881E-8EA8371255FF}"/>
            </a:ext>
          </a:extLst>
        </xdr:cNvPr>
        <xdr:cNvGrpSpPr>
          <a:grpSpLocks/>
        </xdr:cNvGrpSpPr>
      </xdr:nvGrpSpPr>
      <xdr:grpSpPr bwMode="auto">
        <a:xfrm>
          <a:off x="8613140" y="3606800"/>
          <a:ext cx="3143885" cy="1320800"/>
          <a:chOff x="655" y="77"/>
          <a:chExt cx="315" cy="139"/>
        </a:xfrm>
      </xdr:grpSpPr>
      <xdr:sp macro="" textlink="">
        <xdr:nvSpPr>
          <xdr:cNvPr id="12" name="Text Box 344">
            <a:extLst>
              <a:ext uri="{FF2B5EF4-FFF2-40B4-BE49-F238E27FC236}">
                <a16:creationId xmlns:a16="http://schemas.microsoft.com/office/drawing/2014/main" id="{7391799A-F712-4409-A796-80E0BEFAAB5A}"/>
              </a:ext>
            </a:extLst>
          </xdr:cNvPr>
          <xdr:cNvSpPr txBox="1">
            <a:spLocks noChangeArrowheads="1"/>
          </xdr:cNvSpPr>
        </xdr:nvSpPr>
        <xdr:spPr bwMode="auto">
          <a:xfrm>
            <a:off x="655" y="77"/>
            <a:ext cx="229" cy="139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19050">
            <a:solidFill>
              <a:srgbClr xmlns:mc="http://schemas.openxmlformats.org/markup-compatibility/2006" xmlns:a14="http://schemas.microsoft.com/office/drawing/2010/main" val="FF6600" mc:Ignorable="a14" a14:legacySpreadsheetColorIndex="53"/>
            </a:solidFill>
            <a:miter lim="800000"/>
            <a:headEnd/>
            <a:tailEnd/>
          </a:ln>
        </xdr:spPr>
        <xdr:txBody>
          <a:bodyPr vertOverflow="clip" wrap="square" lIns="27432" tIns="27432" rIns="0" bIns="0" anchor="t" upright="1"/>
          <a:lstStyle/>
          <a:p>
            <a:pPr algn="l" rtl="0">
              <a:defRPr sz="1000"/>
            </a:pPr>
            <a:r>
              <a:rPr lang="fr-FR" sz="900" b="0" i="0" u="none" strike="noStrike" baseline="0">
                <a:solidFill>
                  <a:srgbClr val="000080"/>
                </a:solidFill>
                <a:latin typeface="Arial Narrow"/>
              </a:rPr>
              <a:t>               </a:t>
            </a:r>
            <a:r>
              <a:rPr lang="fr-FR" sz="1200" b="1" i="0" u="none" strike="noStrike" baseline="0">
                <a:solidFill>
                  <a:srgbClr val="FF6600"/>
                </a:solidFill>
                <a:latin typeface="Arial Narrow"/>
              </a:rPr>
              <a:t>       UTILISATION</a:t>
            </a:r>
            <a:endParaRPr lang="fr-FR" sz="900" b="0" i="0" u="none" strike="noStrike" baseline="0">
              <a:solidFill>
                <a:srgbClr val="000080"/>
              </a:solidFill>
              <a:latin typeface="Arial Narrow"/>
            </a:endParaRPr>
          </a:p>
          <a:p>
            <a:pPr algn="l" rtl="0">
              <a:defRPr sz="1000"/>
            </a:pPr>
            <a:r>
              <a:rPr lang="fr-FR" sz="900" b="1" i="0" u="none" strike="noStrike" baseline="0">
                <a:solidFill>
                  <a:srgbClr val="808080"/>
                </a:solidFill>
                <a:latin typeface="Arial Narrow"/>
              </a:rPr>
              <a:t>Pour remplir cette fiche de simulation : </a:t>
            </a:r>
            <a:endParaRPr lang="fr-FR" sz="900" b="0" i="0" u="none" strike="noStrike" baseline="0">
              <a:solidFill>
                <a:srgbClr val="808080"/>
              </a:solidFill>
              <a:latin typeface="Arial Narrow"/>
            </a:endParaRPr>
          </a:p>
          <a:p>
            <a:pPr algn="l" rtl="0">
              <a:defRPr sz="1000"/>
            </a:pPr>
            <a:r>
              <a:rPr lang="fr-FR" sz="900" b="0" i="0" u="none" strike="noStrike" baseline="0">
                <a:solidFill>
                  <a:srgbClr val="808080"/>
                </a:solidFill>
                <a:latin typeface="Arial Narrow"/>
              </a:rPr>
              <a:t>1. les cellule </a:t>
            </a:r>
            <a:r>
              <a:rPr lang="fr-FR" sz="900" b="1" i="0" u="none" strike="noStrike" baseline="0">
                <a:solidFill>
                  <a:srgbClr val="808080"/>
                </a:solidFill>
                <a:latin typeface="Arial Narrow"/>
              </a:rPr>
              <a:t>grisées</a:t>
            </a:r>
            <a:r>
              <a:rPr lang="fr-FR" sz="900" b="0" i="0" u="none" strike="noStrike" baseline="0">
                <a:solidFill>
                  <a:srgbClr val="808080"/>
                </a:solidFill>
                <a:latin typeface="Arial Narrow"/>
              </a:rPr>
              <a:t> sont à saisir</a:t>
            </a:r>
          </a:p>
          <a:p>
            <a:pPr algn="l" rtl="0">
              <a:defRPr sz="1000"/>
            </a:pPr>
            <a:r>
              <a:rPr lang="fr-FR" sz="900" b="0" i="0" u="none" strike="noStrike" baseline="0">
                <a:solidFill>
                  <a:srgbClr val="808080"/>
                </a:solidFill>
                <a:latin typeface="Arial Narrow"/>
              </a:rPr>
              <a:t>2. en approchant le pointeur de la souris sur les cellules avec un </a:t>
            </a:r>
            <a:r>
              <a:rPr lang="fr-FR" sz="900" b="1" i="0" u="none" strike="noStrike" baseline="0">
                <a:solidFill>
                  <a:srgbClr val="808080"/>
                </a:solidFill>
                <a:latin typeface="Arial Narrow"/>
              </a:rPr>
              <a:t>onglet rouge</a:t>
            </a:r>
            <a:r>
              <a:rPr lang="fr-FR" sz="900" b="0" i="0" u="none" strike="noStrike" baseline="0">
                <a:solidFill>
                  <a:srgbClr val="808080"/>
                </a:solidFill>
                <a:latin typeface="Arial Narrow"/>
              </a:rPr>
              <a:t> :</a:t>
            </a:r>
            <a:br>
              <a:rPr lang="fr-FR" sz="900" b="0" i="0" u="none" strike="noStrike" baseline="0">
                <a:solidFill>
                  <a:srgbClr val="808080"/>
                </a:solidFill>
                <a:latin typeface="Arial Narrow"/>
              </a:rPr>
            </a:br>
            <a:endParaRPr lang="fr-FR" sz="900" b="0" i="0" u="none" strike="noStrike" baseline="0">
              <a:solidFill>
                <a:srgbClr val="808080"/>
              </a:solidFill>
              <a:latin typeface="Arial Narrow"/>
            </a:endParaRPr>
          </a:p>
          <a:p>
            <a:pPr algn="l" rtl="0">
              <a:defRPr sz="1000"/>
            </a:pPr>
            <a:r>
              <a:rPr lang="fr-FR" sz="900" b="0" i="0" u="none" strike="noStrike" baseline="0">
                <a:solidFill>
                  <a:srgbClr val="808080"/>
                </a:solidFill>
                <a:latin typeface="Arial Narrow"/>
              </a:rPr>
              <a:t>une fenêtre de commentaire apparaît qui explique comment saisir les informations. </a:t>
            </a:r>
          </a:p>
          <a:p>
            <a:pPr algn="l" rtl="0">
              <a:defRPr sz="1000"/>
            </a:pPr>
            <a:endParaRPr lang="fr-FR" sz="900" b="0" i="0" u="none" strike="noStrike" baseline="0">
              <a:solidFill>
                <a:srgbClr val="808080"/>
              </a:solidFill>
              <a:latin typeface="Arial Narrow"/>
            </a:endParaRPr>
          </a:p>
        </xdr:txBody>
      </xdr:sp>
      <xdr:pic>
        <xdr:nvPicPr>
          <xdr:cNvPr id="18741" name="Picture 345">
            <a:extLst>
              <a:ext uri="{FF2B5EF4-FFF2-40B4-BE49-F238E27FC236}">
                <a16:creationId xmlns:a16="http://schemas.microsoft.com/office/drawing/2014/main" id="{CACA578A-11E7-4516-A47A-100F3D561DC8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802" y="143"/>
            <a:ext cx="72" cy="18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808080" mc:Ignorable="a14" a14:legacySpreadsheetColorIndex="23"/>
          </a:solidFill>
          <a:ln w="19050">
            <a:solidFill>
              <a:srgbClr xmlns:mc="http://schemas.openxmlformats.org/markup-compatibility/2006" xmlns:a14="http://schemas.microsoft.com/office/drawing/2010/main" val="FF6600" mc:Ignorable="a14" a14:legacySpreadsheetColorIndex="53"/>
            </a:solidFill>
            <a:miter lim="800000"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pic>
      <xdr:pic>
        <xdr:nvPicPr>
          <xdr:cNvPr id="18742" name="Picture 346">
            <a:extLst>
              <a:ext uri="{FF2B5EF4-FFF2-40B4-BE49-F238E27FC236}">
                <a16:creationId xmlns:a16="http://schemas.microsoft.com/office/drawing/2014/main" id="{3A5A493A-AB24-4961-B853-8D6CFD1124DB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5040" t="18439" b="18439"/>
          <a:stretch>
            <a:fillRect/>
          </a:stretch>
        </xdr:blipFill>
        <xdr:spPr bwMode="auto">
          <a:xfrm>
            <a:off x="874" y="132"/>
            <a:ext cx="96" cy="18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0C0C0" mc:Ignorable="a14" a14:legacySpreadsheetColorIndex="22"/>
          </a:solidFill>
          <a:ln w="19050">
            <a:solidFill>
              <a:srgbClr xmlns:mc="http://schemas.openxmlformats.org/markup-compatibility/2006" xmlns:a14="http://schemas.microsoft.com/office/drawing/2010/main" val="FF6600" mc:Ignorable="a14" a14:legacySpreadsheetColorIndex="53"/>
            </a:solidFill>
            <a:miter lim="800000"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pic>
    </xdr:grpSp>
    <xdr:clientData/>
  </xdr:twoCellAnchor>
  <xdr:twoCellAnchor>
    <xdr:from>
      <xdr:col>11</xdr:col>
      <xdr:colOff>659765</xdr:colOff>
      <xdr:row>3</xdr:row>
      <xdr:rowOff>36195</xdr:rowOff>
    </xdr:from>
    <xdr:to>
      <xdr:col>14</xdr:col>
      <xdr:colOff>457828</xdr:colOff>
      <xdr:row>13</xdr:row>
      <xdr:rowOff>45720</xdr:rowOff>
    </xdr:to>
    <xdr:sp macro="" textlink="">
      <xdr:nvSpPr>
        <xdr:cNvPr id="15" name="Text Box 405">
          <a:extLst>
            <a:ext uri="{FF2B5EF4-FFF2-40B4-BE49-F238E27FC236}">
              <a16:creationId xmlns:a16="http://schemas.microsoft.com/office/drawing/2014/main" id="{B252B1C9-56E7-4BC2-9DF8-46A2A7497CD6}"/>
            </a:ext>
          </a:extLst>
        </xdr:cNvPr>
        <xdr:cNvSpPr txBox="1">
          <a:spLocks noChangeArrowheads="1"/>
        </xdr:cNvSpPr>
      </xdr:nvSpPr>
      <xdr:spPr bwMode="auto">
        <a:xfrm>
          <a:off x="10039350" y="704850"/>
          <a:ext cx="2238375" cy="952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9050">
          <a:solidFill>
            <a:srgbClr xmlns:mc="http://schemas.openxmlformats.org/markup-compatibility/2006" xmlns:a14="http://schemas.microsoft.com/office/drawing/2010/main" val="000080" mc:Ignorable="a14" a14:legacySpreadsheetColorIndex="18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0">
            <a:defRPr sz="1000"/>
          </a:pPr>
          <a:r>
            <a:rPr lang="fr-FR" sz="1200" b="1" i="0" u="none" strike="noStrike" baseline="0">
              <a:solidFill>
                <a:srgbClr val="FF0000"/>
              </a:solidFill>
              <a:latin typeface="Arial Narrow"/>
            </a:rPr>
            <a:t>IMPORTANT</a:t>
          </a:r>
          <a:r>
            <a:rPr lang="fr-FR" sz="900" b="0" i="0" u="none" strike="noStrike" baseline="0">
              <a:solidFill>
                <a:srgbClr val="FF6600"/>
              </a:solidFill>
              <a:latin typeface="Arial Narrow"/>
            </a:rPr>
            <a:t>: avant l'utilisation de cette application, il est nécessaire d'</a:t>
          </a:r>
          <a:r>
            <a:rPr lang="fr-FR" sz="900" b="1" i="0" u="none" strike="noStrike" baseline="0">
              <a:solidFill>
                <a:srgbClr val="FF6600"/>
              </a:solidFill>
              <a:latin typeface="Arial Narrow"/>
            </a:rPr>
            <a:t>activer l'utilitaire d'analyse </a:t>
          </a:r>
          <a:r>
            <a:rPr lang="fr-FR" sz="900" b="0" i="0" u="none" strike="noStrike" baseline="0">
              <a:solidFill>
                <a:srgbClr val="FF6600"/>
              </a:solidFill>
              <a:latin typeface="Arial Narrow"/>
            </a:rPr>
            <a:t>(allez dans le menu Outils/Macros complémentaires/cochez Utlilitaire d'analyse) 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1095375</xdr:colOff>
      <xdr:row>5</xdr:row>
      <xdr:rowOff>161925</xdr:rowOff>
    </xdr:to>
    <xdr:pic>
      <xdr:nvPicPr>
        <xdr:cNvPr id="19614" name="Image 1">
          <a:extLst>
            <a:ext uri="{FF2B5EF4-FFF2-40B4-BE49-F238E27FC236}">
              <a16:creationId xmlns:a16="http://schemas.microsoft.com/office/drawing/2014/main" id="{7D939433-C0AC-480B-AE76-5448C0F3D7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95375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0</xdr:colOff>
      <xdr:row>40</xdr:row>
      <xdr:rowOff>0</xdr:rowOff>
    </xdr:from>
    <xdr:to>
      <xdr:col>6</xdr:col>
      <xdr:colOff>0</xdr:colOff>
      <xdr:row>41</xdr:row>
      <xdr:rowOff>0</xdr:rowOff>
    </xdr:to>
    <xdr:sp macro="" textlink="">
      <xdr:nvSpPr>
        <xdr:cNvPr id="19615" name="Rectangle 1">
          <a:extLst>
            <a:ext uri="{FF2B5EF4-FFF2-40B4-BE49-F238E27FC236}">
              <a16:creationId xmlns:a16="http://schemas.microsoft.com/office/drawing/2014/main" id="{8FD997AE-990F-42EC-B85D-5E94D60C3CEB}"/>
            </a:ext>
          </a:extLst>
        </xdr:cNvPr>
        <xdr:cNvSpPr>
          <a:spLocks noChangeArrowheads="1"/>
        </xdr:cNvSpPr>
      </xdr:nvSpPr>
      <xdr:spPr bwMode="auto">
        <a:xfrm>
          <a:off x="5000625" y="5629275"/>
          <a:ext cx="819150" cy="1619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 fPrintsWithSheet="0"/>
  </xdr:twoCellAnchor>
  <xdr:twoCellAnchor>
    <xdr:from>
      <xdr:col>3</xdr:col>
      <xdr:colOff>0</xdr:colOff>
      <xdr:row>40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19616" name="Rectangle 2">
          <a:extLst>
            <a:ext uri="{FF2B5EF4-FFF2-40B4-BE49-F238E27FC236}">
              <a16:creationId xmlns:a16="http://schemas.microsoft.com/office/drawing/2014/main" id="{CAEF6A40-4E01-4937-BE75-106BD6DADA91}"/>
            </a:ext>
          </a:extLst>
        </xdr:cNvPr>
        <xdr:cNvSpPr>
          <a:spLocks noChangeArrowheads="1"/>
        </xdr:cNvSpPr>
      </xdr:nvSpPr>
      <xdr:spPr bwMode="auto">
        <a:xfrm>
          <a:off x="3390900" y="5629275"/>
          <a:ext cx="838200" cy="1619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 fPrintsWithSheet="0"/>
  </xdr:twoCellAnchor>
  <xdr:twoCellAnchor>
    <xdr:from>
      <xdr:col>0</xdr:col>
      <xdr:colOff>0</xdr:colOff>
      <xdr:row>40</xdr:row>
      <xdr:rowOff>0</xdr:rowOff>
    </xdr:from>
    <xdr:to>
      <xdr:col>1</xdr:col>
      <xdr:colOff>0</xdr:colOff>
      <xdr:row>41</xdr:row>
      <xdr:rowOff>0</xdr:rowOff>
    </xdr:to>
    <xdr:sp macro="" textlink="">
      <xdr:nvSpPr>
        <xdr:cNvPr id="19617" name="Rectangle 3">
          <a:extLst>
            <a:ext uri="{FF2B5EF4-FFF2-40B4-BE49-F238E27FC236}">
              <a16:creationId xmlns:a16="http://schemas.microsoft.com/office/drawing/2014/main" id="{03D26288-4211-440F-BCE5-1A3FE5D4FE7E}"/>
            </a:ext>
          </a:extLst>
        </xdr:cNvPr>
        <xdr:cNvSpPr>
          <a:spLocks noChangeArrowheads="1"/>
        </xdr:cNvSpPr>
      </xdr:nvSpPr>
      <xdr:spPr bwMode="auto">
        <a:xfrm>
          <a:off x="0" y="5629275"/>
          <a:ext cx="1752600" cy="1619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 fPrintsWithSheet="0"/>
  </xdr:twoCellAnchor>
  <xdr:twoCellAnchor>
    <xdr:from>
      <xdr:col>1</xdr:col>
      <xdr:colOff>0</xdr:colOff>
      <xdr:row>48</xdr:row>
      <xdr:rowOff>9525</xdr:rowOff>
    </xdr:from>
    <xdr:to>
      <xdr:col>2</xdr:col>
      <xdr:colOff>0</xdr:colOff>
      <xdr:row>49</xdr:row>
      <xdr:rowOff>9525</xdr:rowOff>
    </xdr:to>
    <xdr:sp macro="" textlink="">
      <xdr:nvSpPr>
        <xdr:cNvPr id="19618" name="Rectangle 5">
          <a:extLst>
            <a:ext uri="{FF2B5EF4-FFF2-40B4-BE49-F238E27FC236}">
              <a16:creationId xmlns:a16="http://schemas.microsoft.com/office/drawing/2014/main" id="{BC4412E9-F4D4-41DF-9740-10106E8D72B4}"/>
            </a:ext>
          </a:extLst>
        </xdr:cNvPr>
        <xdr:cNvSpPr>
          <a:spLocks noChangeArrowheads="1"/>
        </xdr:cNvSpPr>
      </xdr:nvSpPr>
      <xdr:spPr bwMode="auto">
        <a:xfrm>
          <a:off x="1752600" y="6581775"/>
          <a:ext cx="838200" cy="17145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3366FF" mc:Ignorable="a14" a14:legacySpreadsheetColorIndex="48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 fPrintsWithSheet="0"/>
  </xdr:twoCellAnchor>
  <xdr:twoCellAnchor>
    <xdr:from>
      <xdr:col>0</xdr:col>
      <xdr:colOff>2247900</xdr:colOff>
      <xdr:row>50</xdr:row>
      <xdr:rowOff>0</xdr:rowOff>
    </xdr:from>
    <xdr:to>
      <xdr:col>1</xdr:col>
      <xdr:colOff>1323975</xdr:colOff>
      <xdr:row>50</xdr:row>
      <xdr:rowOff>266700</xdr:rowOff>
    </xdr:to>
    <xdr:sp macro="" textlink="">
      <xdr:nvSpPr>
        <xdr:cNvPr id="19619" name="Rectangle 6">
          <a:extLst>
            <a:ext uri="{FF2B5EF4-FFF2-40B4-BE49-F238E27FC236}">
              <a16:creationId xmlns:a16="http://schemas.microsoft.com/office/drawing/2014/main" id="{8CE43437-2237-4E00-8A73-5E5172260119}"/>
            </a:ext>
          </a:extLst>
        </xdr:cNvPr>
        <xdr:cNvSpPr>
          <a:spLocks noChangeArrowheads="1"/>
        </xdr:cNvSpPr>
      </xdr:nvSpPr>
      <xdr:spPr bwMode="auto">
        <a:xfrm>
          <a:off x="1752600" y="6781800"/>
          <a:ext cx="838200" cy="17145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3366FF" mc:Ignorable="a14" a14:legacySpreadsheetColorIndex="48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 fPrintsWithSheet="0"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19620" name="Rectangle 7">
          <a:extLst>
            <a:ext uri="{FF2B5EF4-FFF2-40B4-BE49-F238E27FC236}">
              <a16:creationId xmlns:a16="http://schemas.microsoft.com/office/drawing/2014/main" id="{4467D0A2-2D0D-4396-8F92-6A0DAC69B01A}"/>
            </a:ext>
          </a:extLst>
        </xdr:cNvPr>
        <xdr:cNvSpPr>
          <a:spLocks noChangeArrowheads="1"/>
        </xdr:cNvSpPr>
      </xdr:nvSpPr>
      <xdr:spPr bwMode="auto">
        <a:xfrm>
          <a:off x="3390900" y="2390775"/>
          <a:ext cx="838200" cy="1619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 fPrintsWithSheet="0"/>
  </xdr:twoCellAnchor>
  <xdr:twoCellAnchor>
    <xdr:from>
      <xdr:col>0</xdr:col>
      <xdr:colOff>0</xdr:colOff>
      <xdr:row>18</xdr:row>
      <xdr:rowOff>0</xdr:rowOff>
    </xdr:from>
    <xdr:to>
      <xdr:col>1</xdr:col>
      <xdr:colOff>0</xdr:colOff>
      <xdr:row>19</xdr:row>
      <xdr:rowOff>0</xdr:rowOff>
    </xdr:to>
    <xdr:sp macro="" textlink="">
      <xdr:nvSpPr>
        <xdr:cNvPr id="19621" name="Rectangle 8">
          <a:extLst>
            <a:ext uri="{FF2B5EF4-FFF2-40B4-BE49-F238E27FC236}">
              <a16:creationId xmlns:a16="http://schemas.microsoft.com/office/drawing/2014/main" id="{60CED284-50F9-40F7-817C-93BC31F374FE}"/>
            </a:ext>
          </a:extLst>
        </xdr:cNvPr>
        <xdr:cNvSpPr>
          <a:spLocks noChangeArrowheads="1"/>
        </xdr:cNvSpPr>
      </xdr:nvSpPr>
      <xdr:spPr bwMode="auto">
        <a:xfrm>
          <a:off x="0" y="2390775"/>
          <a:ext cx="1752600" cy="1619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 fPrintsWithSheet="0"/>
  </xdr:twoCellAnchor>
  <xdr:twoCellAnchor>
    <xdr:from>
      <xdr:col>7</xdr:col>
      <xdr:colOff>57150</xdr:colOff>
      <xdr:row>8</xdr:row>
      <xdr:rowOff>9525</xdr:rowOff>
    </xdr:from>
    <xdr:to>
      <xdr:col>12</xdr:col>
      <xdr:colOff>0</xdr:colOff>
      <xdr:row>17</xdr:row>
      <xdr:rowOff>47625</xdr:rowOff>
    </xdr:to>
    <xdr:grpSp>
      <xdr:nvGrpSpPr>
        <xdr:cNvPr id="19622" name="Group 118">
          <a:extLst>
            <a:ext uri="{FF2B5EF4-FFF2-40B4-BE49-F238E27FC236}">
              <a16:creationId xmlns:a16="http://schemas.microsoft.com/office/drawing/2014/main" id="{C835694E-29F9-469A-A3F4-187ED8E7D505}"/>
            </a:ext>
          </a:extLst>
        </xdr:cNvPr>
        <xdr:cNvGrpSpPr>
          <a:grpSpLocks/>
        </xdr:cNvGrpSpPr>
      </xdr:nvGrpSpPr>
      <xdr:grpSpPr bwMode="auto">
        <a:xfrm>
          <a:off x="6967105" y="1140980"/>
          <a:ext cx="3992418" cy="1137804"/>
          <a:chOff x="655" y="77"/>
          <a:chExt cx="314" cy="118"/>
        </a:xfrm>
      </xdr:grpSpPr>
      <xdr:sp macro="" textlink="">
        <xdr:nvSpPr>
          <xdr:cNvPr id="3180" name="Text Box 108">
            <a:extLst>
              <a:ext uri="{FF2B5EF4-FFF2-40B4-BE49-F238E27FC236}">
                <a16:creationId xmlns:a16="http://schemas.microsoft.com/office/drawing/2014/main" id="{99535CD3-EE4D-4451-A465-B37C91A49D04}"/>
              </a:ext>
            </a:extLst>
          </xdr:cNvPr>
          <xdr:cNvSpPr txBox="1">
            <a:spLocks noChangeArrowheads="1"/>
          </xdr:cNvSpPr>
        </xdr:nvSpPr>
        <xdr:spPr bwMode="auto">
          <a:xfrm>
            <a:off x="655" y="77"/>
            <a:ext cx="229" cy="118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19050">
            <a:solidFill>
              <a:srgbClr xmlns:mc="http://schemas.openxmlformats.org/markup-compatibility/2006" xmlns:a14="http://schemas.microsoft.com/office/drawing/2010/main" val="FF6600" mc:Ignorable="a14" a14:legacySpreadsheetColorIndex="53"/>
            </a:solidFill>
            <a:miter lim="800000"/>
            <a:headEnd/>
            <a:tailEnd/>
          </a:ln>
        </xdr:spPr>
        <xdr:txBody>
          <a:bodyPr vertOverflow="clip" wrap="square" lIns="27432" tIns="32004" rIns="0" bIns="0" anchor="t" upright="1"/>
          <a:lstStyle/>
          <a:p>
            <a:pPr algn="l" rtl="0">
              <a:defRPr sz="1000"/>
            </a:pPr>
            <a:r>
              <a:rPr lang="fr-FR" sz="900" b="0" i="0" u="none" strike="noStrike" baseline="0">
                <a:solidFill>
                  <a:srgbClr val="000080"/>
                </a:solidFill>
                <a:latin typeface="Arial Narrow"/>
              </a:rPr>
              <a:t>               </a:t>
            </a:r>
            <a:r>
              <a:rPr lang="fr-FR" sz="1200" b="1" i="0" u="none" strike="noStrike" baseline="0">
                <a:solidFill>
                  <a:srgbClr val="FF6600"/>
                </a:solidFill>
                <a:latin typeface="Arial Narrow"/>
              </a:rPr>
              <a:t>       IMPORTANT</a:t>
            </a:r>
            <a:endParaRPr lang="fr-FR" sz="900" b="0" i="0" u="none" strike="noStrike" baseline="0">
              <a:solidFill>
                <a:srgbClr val="000080"/>
              </a:solidFill>
              <a:latin typeface="Arial Narrow"/>
            </a:endParaRPr>
          </a:p>
          <a:p>
            <a:pPr algn="l" rtl="0">
              <a:defRPr sz="1000"/>
            </a:pPr>
            <a:r>
              <a:rPr lang="fr-FR" sz="900" b="1" i="0" u="none" strike="noStrike" baseline="0">
                <a:solidFill>
                  <a:srgbClr val="808080"/>
                </a:solidFill>
                <a:latin typeface="Arial Narrow"/>
              </a:rPr>
              <a:t>Pour remplir cette fiche de simulation : </a:t>
            </a:r>
            <a:endParaRPr lang="fr-FR" sz="900" b="0" i="0" u="none" strike="noStrike" baseline="0">
              <a:solidFill>
                <a:srgbClr val="808080"/>
              </a:solidFill>
              <a:latin typeface="Arial Narrow"/>
            </a:endParaRPr>
          </a:p>
          <a:p>
            <a:pPr algn="l" rtl="0">
              <a:defRPr sz="1000"/>
            </a:pPr>
            <a:r>
              <a:rPr lang="fr-FR" sz="900" b="0" i="0" u="none" strike="noStrike" baseline="0">
                <a:solidFill>
                  <a:srgbClr val="808080"/>
                </a:solidFill>
                <a:latin typeface="Arial Narrow"/>
              </a:rPr>
              <a:t>1. les cellule </a:t>
            </a:r>
            <a:r>
              <a:rPr lang="fr-FR" sz="900" b="1" i="0" u="none" strike="noStrike" baseline="0">
                <a:solidFill>
                  <a:srgbClr val="808080"/>
                </a:solidFill>
                <a:latin typeface="Arial Narrow"/>
              </a:rPr>
              <a:t>grisées</a:t>
            </a:r>
            <a:r>
              <a:rPr lang="fr-FR" sz="900" b="0" i="0" u="none" strike="noStrike" baseline="0">
                <a:solidFill>
                  <a:srgbClr val="808080"/>
                </a:solidFill>
                <a:latin typeface="Arial Narrow"/>
              </a:rPr>
              <a:t> sont à saisir</a:t>
            </a:r>
          </a:p>
          <a:p>
            <a:pPr algn="l" rtl="0">
              <a:defRPr sz="1000"/>
            </a:pPr>
            <a:r>
              <a:rPr lang="fr-FR" sz="900" b="0" i="0" u="none" strike="noStrike" baseline="0">
                <a:solidFill>
                  <a:srgbClr val="808080"/>
                </a:solidFill>
                <a:latin typeface="Arial Narrow"/>
              </a:rPr>
              <a:t>2. en approchant le pointeur de la souris sur les cellules avec un </a:t>
            </a:r>
            <a:r>
              <a:rPr lang="fr-FR" sz="900" b="1" i="0" u="none" strike="noStrike" baseline="0">
                <a:solidFill>
                  <a:srgbClr val="808080"/>
                </a:solidFill>
                <a:latin typeface="Arial Narrow"/>
              </a:rPr>
              <a:t>onglet rouge</a:t>
            </a:r>
            <a:r>
              <a:rPr lang="fr-FR" sz="900" b="0" i="0" u="none" strike="noStrike" baseline="0">
                <a:solidFill>
                  <a:srgbClr val="808080"/>
                </a:solidFill>
                <a:latin typeface="Arial Narrow"/>
              </a:rPr>
              <a:t> :</a:t>
            </a:r>
          </a:p>
          <a:p>
            <a:pPr algn="l" rtl="0">
              <a:defRPr sz="1000"/>
            </a:pPr>
            <a:r>
              <a:rPr lang="fr-FR" sz="900" b="0" i="0" u="none" strike="noStrike" baseline="0">
                <a:solidFill>
                  <a:srgbClr val="808080"/>
                </a:solidFill>
                <a:latin typeface="Arial Narrow"/>
              </a:rPr>
              <a:t>une fenêtre de commentaire apparaît qui explique comment saisir les informations. </a:t>
            </a:r>
          </a:p>
          <a:p>
            <a:pPr algn="l" rtl="0">
              <a:defRPr sz="1000"/>
            </a:pPr>
            <a:endParaRPr lang="fr-FR" sz="900" b="0" i="0" u="none" strike="noStrike" baseline="0">
              <a:solidFill>
                <a:srgbClr val="808080"/>
              </a:solidFill>
              <a:latin typeface="Arial Narrow"/>
            </a:endParaRPr>
          </a:p>
        </xdr:txBody>
      </xdr:sp>
      <xdr:pic>
        <xdr:nvPicPr>
          <xdr:cNvPr id="19624" name="Picture 109">
            <a:extLst>
              <a:ext uri="{FF2B5EF4-FFF2-40B4-BE49-F238E27FC236}">
                <a16:creationId xmlns:a16="http://schemas.microsoft.com/office/drawing/2014/main" id="{5C29633C-6A72-417B-A703-BB7AD641DC98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800" y="137"/>
            <a:ext cx="72" cy="18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0C0C0" mc:Ignorable="a14" a14:legacySpreadsheetColorIndex="22"/>
          </a:solidFill>
          <a:ln w="19050">
            <a:solidFill>
              <a:srgbClr xmlns:mc="http://schemas.openxmlformats.org/markup-compatibility/2006" xmlns:a14="http://schemas.microsoft.com/office/drawing/2010/main" val="FFFFFF" mc:Ignorable="a14" a14:legacySpreadsheetColorIndex="65"/>
            </a:solidFill>
            <a:miter lim="800000"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pic>
      <xdr:pic>
        <xdr:nvPicPr>
          <xdr:cNvPr id="19625" name="Picture 110">
            <a:extLst>
              <a:ext uri="{FF2B5EF4-FFF2-40B4-BE49-F238E27FC236}">
                <a16:creationId xmlns:a16="http://schemas.microsoft.com/office/drawing/2014/main" id="{3EE6E04A-118D-4C99-82BD-EDA1877D9DDC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5040" t="18439" b="18439"/>
          <a:stretch>
            <a:fillRect/>
          </a:stretch>
        </xdr:blipFill>
        <xdr:spPr bwMode="auto">
          <a:xfrm>
            <a:off x="873" y="131"/>
            <a:ext cx="96" cy="18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0C0C0" mc:Ignorable="a14" a14:legacySpreadsheetColorIndex="22"/>
          </a:solidFill>
          <a:ln w="19050">
            <a:solidFill>
              <a:srgbClr xmlns:mc="http://schemas.openxmlformats.org/markup-compatibility/2006" xmlns:a14="http://schemas.microsoft.com/office/drawing/2010/main" val="FFFFFF" mc:Ignorable="a14" a14:legacySpreadsheetColorIndex="65"/>
            </a:solidFill>
            <a:miter lim="800000"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pic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38100</xdr:colOff>
      <xdr:row>27</xdr:row>
      <xdr:rowOff>58420</xdr:rowOff>
    </xdr:from>
    <xdr:to>
      <xdr:col>15</xdr:col>
      <xdr:colOff>0</xdr:colOff>
      <xdr:row>31</xdr:row>
      <xdr:rowOff>15</xdr:rowOff>
    </xdr:to>
    <xdr:sp macro="" textlink="">
      <xdr:nvSpPr>
        <xdr:cNvPr id="7176" name="Text Box 8">
          <a:extLst>
            <a:ext uri="{FF2B5EF4-FFF2-40B4-BE49-F238E27FC236}">
              <a16:creationId xmlns:a16="http://schemas.microsoft.com/office/drawing/2014/main" id="{F88C646A-918C-4176-BE61-3170EB7DB0DF}"/>
            </a:ext>
          </a:extLst>
        </xdr:cNvPr>
        <xdr:cNvSpPr txBox="1">
          <a:spLocks noChangeArrowheads="1"/>
        </xdr:cNvSpPr>
      </xdr:nvSpPr>
      <xdr:spPr bwMode="auto">
        <a:xfrm>
          <a:off x="8420100" y="5343525"/>
          <a:ext cx="3009900" cy="7143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8080" mc:Ignorable="a14" a14:legacySpreadsheetColorIndex="23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fr-FR" sz="1000" b="1" i="1" u="none" strike="noStrike" baseline="0">
              <a:solidFill>
                <a:srgbClr val="FFFFFF"/>
              </a:solidFill>
              <a:latin typeface="Arial Narrow"/>
            </a:rPr>
            <a:t>Conception outil : CNRS - DELEGATION ALSACE et SSTI</a:t>
          </a:r>
        </a:p>
        <a:p>
          <a:pPr algn="l" rtl="0">
            <a:defRPr sz="1000"/>
          </a:pPr>
          <a:r>
            <a:rPr lang="fr-FR" sz="1000" b="1" i="1" u="none" strike="noStrike" baseline="0">
              <a:solidFill>
                <a:srgbClr val="FFFFFF"/>
              </a:solidFill>
              <a:latin typeface="Arial Narrow"/>
            </a:rPr>
            <a:t>Maintenance DRH : SCEJ et SSTI (ssti-drh@cnrs-dir.fr)</a:t>
          </a:r>
        </a:p>
        <a:p>
          <a:pPr algn="l" rtl="0">
            <a:defRPr sz="1000"/>
          </a:pPr>
          <a:r>
            <a:rPr lang="fr-FR" sz="1000" b="1" i="1" u="none" strike="noStrike" baseline="0">
              <a:solidFill>
                <a:srgbClr val="FFFFFF"/>
              </a:solidFill>
              <a:latin typeface="Arial Narrow"/>
            </a:rPr>
            <a:t>Vos suggestions : ssti-drh@cnrs-dir.fr</a:t>
          </a:r>
        </a:p>
        <a:p>
          <a:pPr algn="l" rtl="0">
            <a:defRPr sz="1000"/>
          </a:pPr>
          <a:r>
            <a:rPr lang="fr-FR" sz="1200" b="1" i="1" u="none" strike="noStrike" baseline="0">
              <a:solidFill>
                <a:srgbClr val="FFC000"/>
              </a:solidFill>
              <a:latin typeface="Arial Narrow"/>
            </a:rPr>
            <a:t>Version : V.14.2.2 (01/07/2024)</a:t>
          </a:r>
          <a:endParaRPr lang="fr-FR" sz="1000" b="1" i="1" u="none" strike="noStrike" baseline="0">
            <a:solidFill>
              <a:srgbClr val="FFC000"/>
            </a:solidFill>
            <a:latin typeface="Arial Narrow"/>
          </a:endParaRPr>
        </a:p>
        <a:p>
          <a:pPr algn="l" rtl="0">
            <a:defRPr sz="1000"/>
          </a:pPr>
          <a:endParaRPr lang="fr-FR" sz="1000" b="1" i="1" u="none" strike="noStrike" baseline="0">
            <a:solidFill>
              <a:srgbClr val="FFFFFF"/>
            </a:solidFill>
            <a:latin typeface="Arial Narrow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152400</xdr:colOff>
      <xdr:row>2</xdr:row>
      <xdr:rowOff>704850</xdr:rowOff>
    </xdr:to>
    <xdr:pic>
      <xdr:nvPicPr>
        <xdr:cNvPr id="4772" name="Image 1">
          <a:extLst>
            <a:ext uri="{FF2B5EF4-FFF2-40B4-BE49-F238E27FC236}">
              <a16:creationId xmlns:a16="http://schemas.microsoft.com/office/drawing/2014/main" id="{7F06CCBF-551F-47FB-AC66-6C0D8DD092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144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tabColor indexed="56"/>
  </sheetPr>
  <dimension ref="A1:P74"/>
  <sheetViews>
    <sheetView showGridLines="0" tabSelected="1" zoomScale="110" zoomScaleNormal="110" workbookViewId="0">
      <selection activeCell="H19" sqref="H19"/>
    </sheetView>
  </sheetViews>
  <sheetFormatPr baseColWidth="10" defaultColWidth="11.40625" defaultRowHeight="13"/>
  <cols>
    <col min="1" max="1" width="26.26953125" style="1" bestFit="1" customWidth="1"/>
    <col min="2" max="2" width="12.7265625" style="1" customWidth="1"/>
    <col min="3" max="3" width="11.7265625" style="1" bestFit="1" customWidth="1"/>
    <col min="4" max="4" width="14.26953125" style="143" customWidth="1"/>
    <col min="5" max="5" width="12.26953125" style="1" customWidth="1"/>
    <col min="6" max="6" width="12" style="143" bestFit="1" customWidth="1"/>
    <col min="7" max="7" width="6.40625" style="1" customWidth="1"/>
    <col min="8" max="8" width="8.7265625" style="1" customWidth="1"/>
    <col min="9" max="9" width="9" style="1" bestFit="1" customWidth="1"/>
    <col min="10" max="10" width="17.7265625" style="1" customWidth="1"/>
    <col min="11" max="11" width="13.26953125" style="1" bestFit="1" customWidth="1"/>
    <col min="12" max="12" width="14.40625" style="1" bestFit="1" customWidth="1"/>
    <col min="13" max="13" width="9.40625" style="1" bestFit="1" customWidth="1"/>
    <col min="14" max="16384" width="11.40625" style="1"/>
  </cols>
  <sheetData>
    <row r="1" spans="1:16" ht="14.45" customHeight="1">
      <c r="J1" s="48"/>
      <c r="K1" s="48"/>
    </row>
    <row r="2" spans="1:16" ht="14.45" customHeight="1">
      <c r="A2" s="407"/>
      <c r="B2" s="455" t="str">
        <f>"SIMULATION DU COUT D'UN CDD (à partir du " &amp; TEXT(Date_ref,"jj/mm/AAAA") &amp; ")"</f>
        <v>SIMULATION DU COUT D'UN CDD (à partir du 01/01/2026)</v>
      </c>
      <c r="C2" s="455"/>
      <c r="D2" s="455"/>
      <c r="E2" s="455"/>
      <c r="F2" s="455"/>
      <c r="G2" s="407"/>
      <c r="H2" s="407"/>
      <c r="I2" s="407"/>
      <c r="J2" s="407"/>
      <c r="K2" s="407"/>
      <c r="L2" s="407"/>
      <c r="M2" s="407"/>
      <c r="N2" s="407"/>
      <c r="O2" s="407"/>
      <c r="P2" s="144"/>
    </row>
    <row r="3" spans="1:16" ht="14.45" customHeight="1">
      <c r="F3" s="436"/>
      <c r="G3" s="436"/>
      <c r="H3" s="436"/>
      <c r="I3" s="436"/>
      <c r="J3" s="436"/>
      <c r="K3" s="436"/>
      <c r="L3" s="436"/>
      <c r="M3" s="436"/>
      <c r="N3" s="436"/>
      <c r="O3" s="436"/>
    </row>
    <row r="4" spans="1:16" ht="14.45" customHeight="1">
      <c r="A4" s="145" t="s">
        <v>11</v>
      </c>
      <c r="B4" s="437"/>
      <c r="C4" s="438"/>
      <c r="D4" s="439"/>
      <c r="E4" s="145" t="s">
        <v>89</v>
      </c>
      <c r="F4" s="136"/>
      <c r="G4" s="146"/>
      <c r="I4" s="147"/>
      <c r="J4" s="148"/>
      <c r="K4" s="147"/>
    </row>
    <row r="5" spans="1:16" ht="3.65" customHeight="1">
      <c r="A5" s="149"/>
      <c r="B5" s="150"/>
      <c r="C5" s="150"/>
      <c r="D5" s="150"/>
      <c r="E5" s="150"/>
      <c r="F5" s="151"/>
      <c r="I5" s="147"/>
      <c r="K5" s="147"/>
    </row>
    <row r="6" spans="1:16">
      <c r="A6" s="145" t="s">
        <v>54</v>
      </c>
      <c r="B6" s="137">
        <v>45901</v>
      </c>
      <c r="C6" s="145" t="s">
        <v>43</v>
      </c>
      <c r="D6" s="137">
        <v>46265</v>
      </c>
      <c r="E6" s="145" t="s">
        <v>116</v>
      </c>
      <c r="F6" s="152">
        <f>IF(B6="","",IF(D6="","",IF(OR(DAY(B6)&gt;1,EOMONTH(D6,0)&lt;&gt;D6),(DAYS360(B6,D6)+1)/30,DATEDIF(B6,D6,"m")+1)))</f>
        <v>12</v>
      </c>
      <c r="G6" s="153"/>
      <c r="H6" s="409" t="str">
        <f>IF(YEAR(D6)-YEAR(B6)&gt;6,"Limite de cacul de l'échéancier dépassée","")</f>
        <v/>
      </c>
      <c r="I6" s="365"/>
    </row>
    <row r="7" spans="1:16" ht="3" customHeight="1">
      <c r="A7" s="145"/>
      <c r="C7" s="156"/>
    </row>
    <row r="8" spans="1:16">
      <c r="A8" s="145" t="s">
        <v>79</v>
      </c>
      <c r="B8" s="437" t="s">
        <v>196</v>
      </c>
      <c r="C8" s="438"/>
      <c r="D8" s="439"/>
      <c r="E8" s="145" t="s">
        <v>128</v>
      </c>
      <c r="F8" s="157">
        <f>IF(graderef="","",IF(AND(B6&gt;=42614,graderef="38- Doctorant"),VLOOKUP(graderef,test3,5),IF(AND(B6&lt;42614,graderef="39- Doctorant multi-activités"),VLOOKUP(graderef,test3,4)+332.31,VLOOKUP(graderef,test3,4))))</f>
        <v>4651.78</v>
      </c>
      <c r="H8" s="158">
        <f>IF(graderef="","",VLOOKUP(graderef,test3,5))</f>
        <v>4651.78</v>
      </c>
    </row>
    <row r="9" spans="1:16" ht="2.25" customHeight="1">
      <c r="C9" s="159"/>
    </row>
    <row r="10" spans="1:16">
      <c r="C10" s="434" t="str">
        <f>IF(Indice="","","Modulation dans la limite de " &amp; ROUND((VLOOKUP(graderef,test3,5))-Indice,2) &amp;" € :")</f>
        <v>Modulation dans la limite de 0 € :</v>
      </c>
      <c r="D10" s="434"/>
      <c r="E10" s="434"/>
      <c r="F10" s="302">
        <v>0</v>
      </c>
      <c r="G10" s="444"/>
      <c r="H10" s="444"/>
      <c r="I10" s="444"/>
    </row>
    <row r="11" spans="1:16" ht="2.25" customHeight="1">
      <c r="C11" s="159"/>
    </row>
    <row r="12" spans="1:16">
      <c r="A12" s="145" t="s">
        <v>37</v>
      </c>
      <c r="B12" s="138">
        <v>1</v>
      </c>
      <c r="C12" s="160" t="str">
        <f>IF(B12="","",VLOOKUP(B12,Deptab,2))</f>
        <v>Hors Alsace-Moselle</v>
      </c>
      <c r="D12" s="98"/>
      <c r="E12" s="161" t="s">
        <v>36</v>
      </c>
      <c r="F12" s="384" t="s">
        <v>34</v>
      </c>
    </row>
    <row r="13" spans="1:16" ht="2.25" customHeight="1">
      <c r="A13" s="145"/>
      <c r="B13" s="162"/>
      <c r="C13" s="98"/>
      <c r="D13" s="98"/>
      <c r="E13" s="98"/>
    </row>
    <row r="14" spans="1:16">
      <c r="A14" s="145" t="s">
        <v>14</v>
      </c>
      <c r="B14" s="140">
        <v>1</v>
      </c>
      <c r="C14" s="98"/>
      <c r="D14" s="98"/>
      <c r="E14" s="145"/>
      <c r="F14" s="145"/>
    </row>
    <row r="15" spans="1:16" ht="2.25" customHeight="1">
      <c r="A15" s="145"/>
      <c r="B15" s="163"/>
      <c r="C15" s="98"/>
      <c r="D15" s="98"/>
      <c r="E15" s="145"/>
      <c r="F15" s="1"/>
    </row>
    <row r="16" spans="1:16">
      <c r="A16" s="163"/>
      <c r="B16" s="163"/>
      <c r="C16" s="163"/>
      <c r="D16" s="445" t="str">
        <f>IF(Quotite=1,"Double Financement :","")</f>
        <v>Double Financement :</v>
      </c>
      <c r="E16" s="446"/>
      <c r="F16" s="384" t="s">
        <v>69</v>
      </c>
      <c r="J16" s="385">
        <f>IF(LEFT(D16,6)="Double",1,"")</f>
        <v>1</v>
      </c>
    </row>
    <row r="17" spans="1:16" ht="3" customHeight="1">
      <c r="A17" s="163"/>
      <c r="B17" s="163"/>
      <c r="C17" s="163"/>
      <c r="D17" s="145"/>
      <c r="E17" s="161"/>
      <c r="J17" s="385"/>
    </row>
    <row r="18" spans="1:16">
      <c r="B18" s="442" t="s">
        <v>9</v>
      </c>
      <c r="C18" s="440" t="s">
        <v>15</v>
      </c>
      <c r="D18" s="441"/>
    </row>
    <row r="19" spans="1:16">
      <c r="A19" s="153"/>
      <c r="B19" s="443"/>
      <c r="C19" s="264" t="s">
        <v>1</v>
      </c>
      <c r="D19" s="264" t="s">
        <v>16</v>
      </c>
      <c r="F19" s="1"/>
    </row>
    <row r="20" spans="1:16">
      <c r="A20" s="6" t="s">
        <v>129</v>
      </c>
      <c r="B20" s="420"/>
      <c r="C20" s="321"/>
      <c r="D20" s="330">
        <f>IF(Indice="",0,IF(F16="OUI",IF(Quotite=0.9,ROUND((IF(H8=Indice,Indice,Indice+F10)*32/35),2),ROUND((IF(H8=Indice,Indice,IF(B6&gt;=42614,Indice+F10,Indice))*Quotite),2)),IF(Quotite = 0.8,ROUND((IF(H8=Indice,Indice,Indice+F10)*6/7),2),IF(Quotite=0.9,ROUND((IF(H8=Indice,Indice,Indice+F10)*32/35),2),ROUND((IF(H8=Indice,Indice,IF(B6&gt;=42614,Indice+F10,Indice))*Quotite),2)))))</f>
        <v>4651.78</v>
      </c>
      <c r="E20" s="171"/>
      <c r="F20" s="172"/>
      <c r="L20" s="173"/>
      <c r="M20" s="173"/>
      <c r="N20" s="173"/>
      <c r="O20" s="173"/>
      <c r="P20" s="173"/>
    </row>
    <row r="21" spans="1:16">
      <c r="A21" s="7" t="s">
        <v>12</v>
      </c>
      <c r="B21" s="421">
        <f>IF(graderef="","",IF(OR(LEFT(graderef,2)="38",LEFT(graderef,2)="39"),"",IF(Quotite="","",D20)))</f>
        <v>4651.78</v>
      </c>
      <c r="C21" s="175">
        <v>0.03</v>
      </c>
      <c r="D21" s="326">
        <f>IF(B21="",0,IF(Indice&lt;PlancherIR,C21*ROUNDDOWN(CEILING(PlancherIR*Valeurindice,1)*Quotite/12,2),ROUND(B21*C21,2)))</f>
        <v>139.55000000000001</v>
      </c>
      <c r="E21" s="177" t="str">
        <f>IF(graderef="","",IF(OR(LEFT(graderef,2)="38",LEFT(graderef,2)="39"),"Pas d'indemnité de résidence",""))</f>
        <v/>
      </c>
      <c r="F21" s="48"/>
      <c r="L21" s="173"/>
      <c r="M21" s="173"/>
      <c r="N21" s="173"/>
      <c r="O21" s="173"/>
      <c r="P21" s="173"/>
    </row>
    <row r="22" spans="1:16">
      <c r="A22" s="7" t="s">
        <v>57</v>
      </c>
      <c r="B22" s="421"/>
      <c r="C22" s="178">
        <f>IF(graderef="","",IF(D20=0,0,D22/(D20+D21)))</f>
        <v>0</v>
      </c>
      <c r="D22" s="327">
        <v>0</v>
      </c>
      <c r="E22" s="177" t="str">
        <f>IF(graderef="","",IF(OR(LEFT(graderef,2)="38",LEFT(graderef,2)="39"),"Pas de majoration possible",IF(C22&gt;0.15,"Demander autorisation au DG","")))</f>
        <v/>
      </c>
      <c r="F22" s="172"/>
      <c r="L22" s="173"/>
      <c r="M22" s="173"/>
      <c r="N22" s="179"/>
      <c r="O22" s="173"/>
      <c r="P22" s="173"/>
    </row>
    <row r="23" spans="1:16">
      <c r="A23" s="7" t="s">
        <v>81</v>
      </c>
      <c r="B23" s="422">
        <v>0</v>
      </c>
      <c r="C23" s="180">
        <v>4</v>
      </c>
      <c r="D23" s="328"/>
      <c r="E23" s="181"/>
      <c r="F23" s="182"/>
      <c r="L23" s="173"/>
      <c r="M23" s="173"/>
      <c r="N23" s="173"/>
      <c r="O23" s="173"/>
      <c r="P23" s="173"/>
    </row>
    <row r="24" spans="1:16">
      <c r="A24" s="7" t="s">
        <v>82</v>
      </c>
      <c r="B24" s="418"/>
      <c r="C24" s="321"/>
      <c r="D24" s="329"/>
      <c r="F24" s="182"/>
      <c r="L24" s="173"/>
      <c r="M24" s="435"/>
      <c r="N24" s="435"/>
      <c r="O24" s="435"/>
      <c r="P24" s="173"/>
    </row>
    <row r="25" spans="1:16">
      <c r="A25" s="8" t="s">
        <v>190</v>
      </c>
      <c r="B25" s="418"/>
      <c r="C25" s="419"/>
      <c r="D25" s="424">
        <f>IF(E25="Oui",IF(Quotite=0.9,(32/35*Indem_F_S),IF(Quotite=0.8,(6/7*Indem_F_S),Quotite*Indem_F_S)),0)</f>
        <v>0</v>
      </c>
      <c r="E25" s="425" t="s">
        <v>69</v>
      </c>
      <c r="F25" s="182"/>
      <c r="L25" s="173"/>
      <c r="M25" s="194"/>
      <c r="N25" s="194"/>
      <c r="O25" s="194"/>
      <c r="P25" s="173"/>
    </row>
    <row r="26" spans="1:16">
      <c r="A26" s="342" t="s">
        <v>13</v>
      </c>
      <c r="B26" s="322"/>
      <c r="C26" s="323"/>
      <c r="D26" s="325">
        <f>IF(E22="Pas de majoration possible",IF(D20="","",IF(Num_dept="","",D20+D21+D23+D24)),IF(D20="","",IF(Num_dept="","",D20+D21+D22+D23+D24+D25)))</f>
        <v>4791.33</v>
      </c>
      <c r="E26" s="188"/>
      <c r="F26" s="189"/>
      <c r="G26" s="190"/>
      <c r="L26" s="173"/>
      <c r="M26" s="435"/>
      <c r="N26" s="435"/>
      <c r="O26" s="435"/>
      <c r="P26" s="173"/>
    </row>
    <row r="27" spans="1:16" ht="15" customHeight="1">
      <c r="A27" s="317" t="s">
        <v>152</v>
      </c>
      <c r="B27" s="318" t="str">
        <f>IF(I2D="","",Basebrute*Duree)</f>
        <v/>
      </c>
      <c r="C27" s="319" t="str">
        <f>IF(I2D="","",Indemnité_de_départ)</f>
        <v/>
      </c>
      <c r="D27" s="320" t="str">
        <f>IF(Duree="","",IF(OR(LEFT(graderef,2)="38",LEFT(graderef,2)="39",F27="Oui"),"",IF(B6&lt;44197,"",IF(AND(((IF(DAY(B6)&lt;10,"0"&amp;DAY(B6),DAY(B6))&amp;"/"&amp;IF(MONTH(B6)&lt;10,"0"&amp;MONTH(B6),MONTH(B6))&amp;"/"&amp;(YEAR(B6)+1))-1)&gt;=D6,Basebrute&lt;=2*(SMIC*Quotite)),Basebrute*Duree*Indemnité_de_départ,""))))</f>
        <v/>
      </c>
      <c r="E27" s="145" t="s">
        <v>170</v>
      </c>
      <c r="F27" s="383" t="s">
        <v>68</v>
      </c>
      <c r="G27" s="190"/>
      <c r="L27" s="173"/>
      <c r="M27" s="194"/>
      <c r="N27" s="194"/>
      <c r="O27" s="194"/>
      <c r="P27" s="173"/>
    </row>
    <row r="28" spans="1:16">
      <c r="B28" s="191"/>
      <c r="C28" s="186"/>
      <c r="D28" s="182"/>
      <c r="E28" s="192"/>
      <c r="F28" s="182"/>
      <c r="L28" s="173"/>
      <c r="M28" s="435"/>
      <c r="N28" s="435"/>
      <c r="O28" s="435"/>
      <c r="P28" s="173"/>
    </row>
    <row r="29" spans="1:16">
      <c r="B29" s="442" t="s">
        <v>9</v>
      </c>
      <c r="C29" s="450" t="s">
        <v>10</v>
      </c>
      <c r="D29" s="451"/>
      <c r="E29" s="451"/>
      <c r="F29" s="440"/>
      <c r="H29" s="193"/>
      <c r="L29" s="173"/>
      <c r="M29" s="194"/>
      <c r="N29" s="195"/>
      <c r="O29" s="195"/>
      <c r="P29" s="173"/>
    </row>
    <row r="30" spans="1:16">
      <c r="B30" s="443"/>
      <c r="C30" s="264" t="s">
        <v>62</v>
      </c>
      <c r="D30" s="267" t="s">
        <v>96</v>
      </c>
      <c r="E30" s="264" t="s">
        <v>62</v>
      </c>
      <c r="F30" s="335" t="s">
        <v>95</v>
      </c>
      <c r="L30" s="173"/>
      <c r="M30" s="435"/>
      <c r="N30" s="435"/>
      <c r="O30" s="435"/>
      <c r="P30" s="173"/>
    </row>
    <row r="31" spans="1:16">
      <c r="A31" s="324" t="str">
        <f>'Données générales'!L5</f>
        <v>CSG déductible</v>
      </c>
      <c r="B31" s="199">
        <f>IF($F$12="Hors France","",IF(Basebrute="","",Basebrute*98.25/100))</f>
        <v>4707.4817249999996</v>
      </c>
      <c r="C31" s="200">
        <f>IF($F$12="Hors France","",IF(Num_dept="","",IF(Num_dept=2,'Données générales'!M5,IF(Num_dept=2,'Données générales'!Q5,IF(Num_dept=1,'Données générales'!O5,IF(Num_dept=2,'Données générales'!Q5))))))</f>
        <v>6.8000000000000005E-2</v>
      </c>
      <c r="D31" s="199">
        <f>ROUND(IF($F$12="",0,IF($F$12="Hors France",0,IF(Basebrute="",0,B31*C31))),2)</f>
        <v>320.11</v>
      </c>
      <c r="E31" s="200"/>
      <c r="F31" s="336"/>
      <c r="L31" s="173"/>
      <c r="M31" s="435"/>
      <c r="N31" s="435"/>
      <c r="O31" s="435"/>
      <c r="P31" s="173"/>
    </row>
    <row r="32" spans="1:16">
      <c r="A32" s="339" t="str">
        <f>'Données générales'!L6</f>
        <v>CRDS non déductible</v>
      </c>
      <c r="B32" s="199">
        <f>IF($F$12="Hors France","",IF(Basebrute="","",Basebrute*98.25/100))</f>
        <v>4707.4817249999996</v>
      </c>
      <c r="C32" s="200">
        <f>IF($F$12="Hors France","",IF(Num_dept="","",IF(Num_dept=2,'Données générales'!M6,IF(Num_dept=2,'Données générales'!Q6,IF(Num_dept=1,'Données générales'!O6,IF(Num_dept=2,'Données générales'!Q6))))))</f>
        <v>5.0000000000000001E-3</v>
      </c>
      <c r="D32" s="199">
        <f>ROUND(IF($F$12="",0,IF($F$12="Hors France",0,IF(Basebrute="",0,B32*C32))),2)</f>
        <v>23.54</v>
      </c>
      <c r="E32" s="200"/>
      <c r="F32" s="336"/>
      <c r="L32" s="173"/>
      <c r="M32" s="173"/>
      <c r="N32" s="173"/>
      <c r="O32" s="173"/>
      <c r="P32" s="173"/>
    </row>
    <row r="33" spans="1:13">
      <c r="A33" s="339" t="str">
        <f>'Données générales'!L7</f>
        <v>CSG non déductible</v>
      </c>
      <c r="B33" s="199">
        <f>IF($F$12="Hors France","",IF(Basebrute="","",Basebrute*98.25/100))</f>
        <v>4707.4817249999996</v>
      </c>
      <c r="C33" s="200">
        <f>IF($F$12="Hors France","",IF(Num_dept="","",IF(Num_dept=2,'Données générales'!M7,IF(Num_dept=2,'Données générales'!Q7,IF(Num_dept=1,'Données générales'!O7,IF(Num_dept=2,'Données générales'!Q7))))))</f>
        <v>2.4E-2</v>
      </c>
      <c r="D33" s="199">
        <f>ROUND(IF($F$12="",0,IF($F$12="Hors France",0,IF(Basebrute="",0,B33*C33))),2)</f>
        <v>112.98</v>
      </c>
      <c r="E33" s="200"/>
      <c r="F33" s="336"/>
    </row>
    <row r="34" spans="1:13">
      <c r="A34" s="339" t="str">
        <f>'Données générales'!$L$8</f>
        <v>Solidarité autonomie</v>
      </c>
      <c r="B34" s="199">
        <f>IF(Basebrute="","",Basebrute)</f>
        <v>4791.33</v>
      </c>
      <c r="C34" s="200"/>
      <c r="D34" s="202"/>
      <c r="E34" s="200">
        <f>IF(Num_dept=67,'Données générales'!N8,IF(Num_dept=2,'Données générales'!R8,IF(Num_dept=1,'Données générales'!P8,IF(Num_dept=2,'Données générales'!R8))))</f>
        <v>3.0000000000000001E-3</v>
      </c>
      <c r="F34" s="337">
        <f>ROUND(IF(Basebrute="",0,B34*E34),2)</f>
        <v>14.37</v>
      </c>
    </row>
    <row r="35" spans="1:13">
      <c r="A35" s="339" t="str">
        <f>'Données générales'!$L$10</f>
        <v>SS Maladie (sur tot.)</v>
      </c>
      <c r="B35" s="199">
        <f t="shared" ref="B35:B43" si="0">IF(Basebrute="","",Basebrute)</f>
        <v>4791.33</v>
      </c>
      <c r="C35" s="200">
        <f>IF(Num_dept=2,'Données générales'!M10,IF(Num_dept=2,'Données générales'!Q10,IF(Num_dept=1,'Données générales'!O10,IF(Num_dept=2,'Données générales'!Q10))))</f>
        <v>0</v>
      </c>
      <c r="D35" s="199">
        <f>ROUND(IF(Basebrute="",0,B35*C35),2)</f>
        <v>0</v>
      </c>
      <c r="E35" s="200">
        <f>IF(Num_dept=2,'Données générales'!N10,IF(Num_dept=2,'Données générales'!R10,IF(Num_dept=1,'Données générales'!P10,IF(Num_dept=2,'Données générales'!R10))))</f>
        <v>0.13</v>
      </c>
      <c r="F35" s="337">
        <f>ROUND(IF(Basebrute="",0,B35*E35),2)</f>
        <v>622.87</v>
      </c>
    </row>
    <row r="36" spans="1:13">
      <c r="A36" s="339" t="str">
        <f>'Données générales'!$L$12</f>
        <v>FNAL (sur tot.)</v>
      </c>
      <c r="B36" s="199">
        <f t="shared" si="0"/>
        <v>4791.33</v>
      </c>
      <c r="C36" s="200"/>
      <c r="D36" s="204"/>
      <c r="E36" s="200">
        <f>IF(Num_dept=2,'Données générales'!N12,IF(Num_dept=2,'Données générales'!R12,IF(Num_dept=1,'Données générales'!P12,IF(Num_dept=2,'Données générales'!R12))))</f>
        <v>5.0000000000000001E-3</v>
      </c>
      <c r="F36" s="337">
        <f>ROUND(IF(Basebrute="",0,B36*E36),2)</f>
        <v>23.96</v>
      </c>
    </row>
    <row r="37" spans="1:13">
      <c r="A37" s="339" t="str">
        <f>'Données générales'!$L$13</f>
        <v>Vieillesse (sur tot)</v>
      </c>
      <c r="B37" s="199">
        <f t="shared" si="0"/>
        <v>4791.33</v>
      </c>
      <c r="C37" s="200">
        <f>IF(Num_dept=2,'Données générales'!M13,IF(Num_dept=2,'Données générales'!Q13,IF(Num_dept=1,'Données générales'!O13,IF(Num_dept=2,'Données générales'!Q13))))</f>
        <v>4.0000000000000001E-3</v>
      </c>
      <c r="D37" s="199">
        <f>ROUND(IF(Basebrute="",0,B37*C37),2)</f>
        <v>19.170000000000002</v>
      </c>
      <c r="E37" s="200">
        <f>IF(Num_dept=2,'Données générales'!N13,IF(Num_dept=2,'Données générales'!R13,IF(Num_dept=1,'Données générales'!P13,IF(Num_dept=2,'Données générales'!R13))))</f>
        <v>2.1100000000000001E-2</v>
      </c>
      <c r="F37" s="337">
        <f>ROUND(IF(Basebrute="",0,B37*E37),2)</f>
        <v>101.1</v>
      </c>
    </row>
    <row r="38" spans="1:13">
      <c r="A38" s="339" t="str">
        <f>'Données générales'!$L$14</f>
        <v>Vieillesse (sur plaf)</v>
      </c>
      <c r="B38" s="199">
        <f>IF(Basebrute="","",IF(Basebrute&lt;=PlafondSS,Basebrute,PlafondSS))</f>
        <v>4005</v>
      </c>
      <c r="C38" s="200">
        <f>IF(Num_dept=2,'Données générales'!M14,IF(Num_dept=2,'Données générales'!Q14,IF(Num_dept=1,'Données générales'!O14,IF(Num_dept=2,'Données générales'!Q14))))</f>
        <v>6.9000000000000006E-2</v>
      </c>
      <c r="D38" s="199">
        <f>ROUND(IF(Basebrute="",0,B38*C38),2)</f>
        <v>276.35000000000002</v>
      </c>
      <c r="E38" s="200">
        <f>IF(Num_dept=2,'Données générales'!N14,IF(Num_dept=2,'Données générales'!R14,IF(Num_dept=1,'Données générales'!P14,IF(Num_dept=2,'Données générales'!R14))))</f>
        <v>8.5500000000000007E-2</v>
      </c>
      <c r="F38" s="337">
        <f>ROUND(IF(Basebrute="",0,B38*E38),2)</f>
        <v>342.43</v>
      </c>
    </row>
    <row r="39" spans="1:13">
      <c r="A39" s="339" t="str">
        <f>'Données générales'!$L$15</f>
        <v>Accident du travail</v>
      </c>
      <c r="B39" s="199">
        <f t="shared" si="0"/>
        <v>4791.33</v>
      </c>
      <c r="C39" s="200"/>
      <c r="D39" s="171"/>
      <c r="E39" s="205">
        <v>0.01</v>
      </c>
      <c r="F39" s="337">
        <f>ROUND(IF(Basebrute="",0,IF(Duree&gt;=12,0,B39*E39)),2)</f>
        <v>0</v>
      </c>
    </row>
    <row r="40" spans="1:13">
      <c r="A40" s="339" t="str">
        <f>'Données générales'!$L$16</f>
        <v>Allocations familiales (sur tot)</v>
      </c>
      <c r="B40" s="199">
        <f t="shared" si="0"/>
        <v>4791.33</v>
      </c>
      <c r="C40" s="200"/>
      <c r="D40" s="199"/>
      <c r="E40" s="206">
        <f>IF(Num_dept=2,'Données générales'!N16,IF(Num_dept=2,'Données générales'!R16,IF(Num_dept=1,'Données générales'!P16,IF(Num_dept=2,'Données générales'!R16))))</f>
        <v>5.2499999999999998E-2</v>
      </c>
      <c r="F40" s="337">
        <f>ROUND(IF(Basebrute="",0,B40*E40),2)</f>
        <v>251.54</v>
      </c>
      <c r="M40" s="207"/>
    </row>
    <row r="41" spans="1:13">
      <c r="A41" s="339" t="str">
        <f>'Données générales'!$L$19</f>
        <v>Versement mobilité</v>
      </c>
      <c r="B41" s="199">
        <f t="shared" si="0"/>
        <v>4791.33</v>
      </c>
      <c r="C41" s="200"/>
      <c r="D41" s="202"/>
      <c r="E41" s="304">
        <v>3.2000000000000001E-2</v>
      </c>
      <c r="F41" s="337">
        <f>ROUND(IF(Basebrute="",0,B41*E41),2)</f>
        <v>153.32</v>
      </c>
      <c r="I41" s="433" t="s">
        <v>134</v>
      </c>
      <c r="J41" s="433"/>
      <c r="K41" s="109"/>
      <c r="L41" s="110"/>
    </row>
    <row r="42" spans="1:13">
      <c r="A42" s="339" t="str">
        <f>'Données générales'!$L$17</f>
        <v>Versement mobilité additionnelle</v>
      </c>
      <c r="B42" s="199">
        <f t="shared" si="0"/>
        <v>4791.33</v>
      </c>
      <c r="C42" s="210">
        <f>IF(Num_dept=2,'Données générales'!M9,IF(Num_dept=2,'Données générales'!Q9,IF(Num_dept=1,'Données générales'!O9,IF(Num_dept=2,'Données générales'!Q9))))</f>
        <v>0</v>
      </c>
      <c r="D42" s="209">
        <f>IF(Basebrute="",0,IF((D20+D21-D35-D37-D38-D44)&lt;=Plafondsolidarite,0,B42*C42))</f>
        <v>0</v>
      </c>
      <c r="E42" s="304"/>
      <c r="F42" s="337">
        <f>ROUND(IF(Basebrute="",0,B42*E42),2)</f>
        <v>0</v>
      </c>
      <c r="I42" s="111"/>
      <c r="J42" s="130" t="s">
        <v>135</v>
      </c>
      <c r="K42" s="133">
        <f>IF(graderef="",0,ROUND(Basebrute,0))</f>
        <v>4791</v>
      </c>
      <c r="L42" s="114"/>
    </row>
    <row r="43" spans="1:13" ht="26">
      <c r="A43" s="431" t="str">
        <f>'Données générales'!$L$18</f>
        <v>Versement mobilité Régionale et Rurale</v>
      </c>
      <c r="B43" s="199">
        <f t="shared" si="0"/>
        <v>4791.33</v>
      </c>
      <c r="C43" s="210"/>
      <c r="D43" s="209"/>
      <c r="E43" s="304"/>
      <c r="F43" s="337">
        <f>ROUND(IF(Basebrute="",0,B43*E43),2)</f>
        <v>0</v>
      </c>
      <c r="I43" s="111"/>
      <c r="J43" s="112" t="s">
        <v>136</v>
      </c>
      <c r="K43" s="113"/>
      <c r="L43" s="114"/>
    </row>
    <row r="44" spans="1:13">
      <c r="A44" s="339" t="str">
        <f>'Données générales'!$L$20</f>
        <v>IRCANTEC tranche A</v>
      </c>
      <c r="B44" s="199">
        <f>IF(Basebrute="","",IF((Basebrute-D23)&lt;PlafondSS,Basebrute-D23,PlafondSS))</f>
        <v>4005</v>
      </c>
      <c r="C44" s="200">
        <f>IF(Num_dept=2,'Données générales'!M20,IF(Num_dept=2,'Données générales'!Q20,IF(Num_dept=1,'Données générales'!O20,IF(Num_dept=2,'Données générales'!Q20))))</f>
        <v>2.8400000000000002E-2</v>
      </c>
      <c r="D44" s="199">
        <f>ROUND(IF(Basebrute="",0,B44*C44),2)</f>
        <v>113.74</v>
      </c>
      <c r="E44" s="200">
        <f>IF(Num_dept=2,'Données générales'!N20,IF(Num_dept=2,'Données générales'!R20,IF(Num_dept=1,'Données générales'!P20,IF(Num_dept=2,'Données générales'!R20))))</f>
        <v>4.2700000000000002E-2</v>
      </c>
      <c r="F44" s="337">
        <f>ROUND(IF(Basebrute="",0,B44*E44),2)</f>
        <v>171.01</v>
      </c>
      <c r="I44" s="111"/>
      <c r="J44" s="122" t="str">
        <f>"Assiette &lt; =" &amp; TSmensuel1</f>
        <v>Assiette &lt; =762</v>
      </c>
      <c r="K44" s="122" t="str">
        <f>TSmensuel1 &amp; "&lt;Assiette&lt;=" &amp; TSmensuel2</f>
        <v>762&lt;Assiette&lt;=1522</v>
      </c>
      <c r="L44" s="122" t="str">
        <f>"Assiette &gt;" &amp; TSmensuel2</f>
        <v>Assiette &gt;1522</v>
      </c>
    </row>
    <row r="45" spans="1:13">
      <c r="A45" s="339" t="str">
        <f>IF(IF(Basebrute="","",IF(Basebrute&gt;PlafondSS,Basebrute-D23-PlafondSS,""))&lt;0,"", IF(Basebrute="","",IF(Basebrute&gt;PlafondSS,'Données générales'!L21,"")))</f>
        <v>IRCANTEC tranche B</v>
      </c>
      <c r="B45" s="199">
        <f>IF(IF(Basebrute="","",IF(Basebrute&gt;PlafondSS,Basebrute-D23-PlafondSS,""))&lt;0,, IF(Basebrute&gt;PlafondSS,Basebrute-D23-PlafondSS,""))</f>
        <v>786.32999999999993</v>
      </c>
      <c r="C45" s="200">
        <f>IF(IF(Basebrute="","",IF(Basebrute&gt;PlafondSS,Basebrute-D23-PlafondSS,""))&lt;0,0, IF(Basebrute&lt;=PlafondSS,"",IF(Num_dept="","",IF(Num_dept=2,'Données générales'!M21,'Données générales'!Q21))))</f>
        <v>7.0599999999999996E-2</v>
      </c>
      <c r="D45" s="199">
        <f>IF(Basebrute="",0,IF(Basebrute&lt;=PlafondSS,0,ROUND(B45*C45,2)))</f>
        <v>55.51</v>
      </c>
      <c r="E45" s="200">
        <f>IF(IF(Basebrute="","",IF(Basebrute&gt;PlafondSS,Basebrute-D23-PlafondSS,""))&lt;0,0, IF(Basebrute&lt;=PlafondSS,"",IF(Num_dept="","",IF(Num_dept=2,'Données générales'!N21,'Données générales'!R21))))</f>
        <v>0.1275</v>
      </c>
      <c r="F45" s="337">
        <f>ROUND(IF(Basebrute="",0,IF(Basebrute&lt;=PlafondSS,0,B45*E45)),2)</f>
        <v>100.26</v>
      </c>
      <c r="I45" s="112" t="s">
        <v>137</v>
      </c>
      <c r="J45" s="115">
        <f>ROUND(IF(ASSIETTETAXESAL&lt;=TSmensuel1,(ASSIETTETAXESAL*TStaux1),0),2)</f>
        <v>0</v>
      </c>
      <c r="K45" s="115">
        <f>IF(AND(ASSIETTETAXESAL&gt;TSmensuel1,ASSIETTETAXESAL&lt;=TSmensuel2),TSmensuel1*TStaux1,0)</f>
        <v>0</v>
      </c>
      <c r="L45" s="116">
        <f>ROUND(IF(ASSIETTETAXESAL&gt;TSmensuel2,TSmensuel1*TStaux1,0),2)</f>
        <v>32.39</v>
      </c>
    </row>
    <row r="46" spans="1:13">
      <c r="A46" s="339" t="s">
        <v>176</v>
      </c>
      <c r="B46" s="199">
        <f>IF(Basebrute="","",Basebrute)</f>
        <v>4791.33</v>
      </c>
      <c r="C46" s="200"/>
      <c r="D46" s="199"/>
      <c r="E46" s="200">
        <f>'Données générales'!H11</f>
        <v>0.04</v>
      </c>
      <c r="F46" s="337">
        <f>ROUND(IF(Basebrute="",0,B46*E46),2)</f>
        <v>191.65</v>
      </c>
      <c r="I46" s="112" t="s">
        <v>138</v>
      </c>
      <c r="J46" s="115"/>
      <c r="K46" s="115">
        <f>ROUND(IF(AND(ASSIETTETAXESAL&gt;TSmensuel1,ASSIETTETAXESAL&lt;=TSmensuel2),((ASSIETTETAXESAL-TSmensuel1)*TStaux2),0 ),2)</f>
        <v>0</v>
      </c>
      <c r="L46" s="107">
        <f>ROUND(IF(ASSIETTETAXESAL&gt;TSmensuel2,(TSmensuel2-TSmensuel1)*TStaux2,0),2)</f>
        <v>64.599999999999994</v>
      </c>
    </row>
    <row r="47" spans="1:13">
      <c r="A47" s="339" t="str">
        <f>IF($F$12="","",IF($F$12="France","",'Données générales'!L22))</f>
        <v/>
      </c>
      <c r="B47" s="199" t="str">
        <f>IF($F$12="France","",IF(Basebrute="","",Basebrute))</f>
        <v/>
      </c>
      <c r="C47" s="200" t="str">
        <f>IF($F$12="France","",IF(Num_dept="","",IF(Num_dept=2,'Données générales'!M22,'Données générales'!Q22)))</f>
        <v/>
      </c>
      <c r="D47" s="199">
        <f>IF($F$12="",0,IF($F$12="France",0,IF(Basebrute="",0,B47*C47)))</f>
        <v>0</v>
      </c>
      <c r="E47" s="200"/>
      <c r="F47" s="338"/>
      <c r="I47" s="112" t="s">
        <v>139</v>
      </c>
      <c r="J47" s="115"/>
      <c r="K47" s="115"/>
      <c r="L47" s="116">
        <f>ROUND(IF(ASSIETTETAXESAL&gt;TSmensuel2,(ASSIETTETAXESAL-TSmensuel2)*TStaux3,0),2)</f>
        <v>444.58</v>
      </c>
    </row>
    <row r="48" spans="1:13">
      <c r="A48" s="331" t="s">
        <v>60</v>
      </c>
      <c r="B48" s="332">
        <f>IF(Basebrute="","",Basebrute)</f>
        <v>4791.33</v>
      </c>
      <c r="C48" s="333"/>
      <c r="D48" s="332"/>
      <c r="E48" s="333"/>
      <c r="F48" s="334">
        <f>IF(J48&gt;0,J48,IF(K48&gt;0,K48,IF(L48&gt;0,L48,0)))</f>
        <v>520</v>
      </c>
      <c r="I48" s="130" t="s">
        <v>143</v>
      </c>
      <c r="J48" s="131">
        <f>ROUND(J45*TSassujettissement,0)</f>
        <v>0</v>
      </c>
      <c r="K48" s="131">
        <f>ROUND((SUM(K45:K46)*TSassujettissement),0)</f>
        <v>0</v>
      </c>
      <c r="L48" s="132">
        <f>ROUND((SUM(L45:L47)*TSassujettissement),0)</f>
        <v>520</v>
      </c>
    </row>
    <row r="49" spans="1:16" ht="21.75" customHeight="1">
      <c r="A49" s="215" t="s">
        <v>39</v>
      </c>
      <c r="C49" s="143"/>
      <c r="D49" s="216">
        <f>SUM(D31:D47)</f>
        <v>921.40000000000009</v>
      </c>
      <c r="E49" s="143"/>
      <c r="F49" s="216">
        <f>SUM(F31:F48)</f>
        <v>2492.5100000000002</v>
      </c>
      <c r="J49" s="48"/>
    </row>
    <row r="50" spans="1:16" ht="13.75" thickBot="1">
      <c r="J50" s="48"/>
    </row>
    <row r="51" spans="1:16" ht="13.75" thickBot="1">
      <c r="A51" s="340" t="s">
        <v>40</v>
      </c>
      <c r="B51" s="218">
        <f>IF(Basebrute="",0,Basebrute-TotalPS+CRDSnd+CSGnd)</f>
        <v>4006.45</v>
      </c>
      <c r="F51" s="219"/>
      <c r="J51" s="222">
        <f>DATE(YEAR(B6),MONTH(B6),30)</f>
        <v>45930</v>
      </c>
    </row>
    <row r="52" spans="1:16" ht="13.75" thickBot="1">
      <c r="A52" s="220"/>
      <c r="B52" s="221"/>
      <c r="J52" s="48"/>
    </row>
    <row r="53" spans="1:16" ht="13.75" thickBot="1">
      <c r="A53" s="340" t="s">
        <v>41</v>
      </c>
      <c r="B53" s="223">
        <f>IF(Basebrute="",0,Basebrute-TotalPS+B55)</f>
        <v>3869.93</v>
      </c>
      <c r="C53" s="303" t="s">
        <v>93</v>
      </c>
      <c r="D53" s="224" t="str">
        <f>IF(C53="Acompte :",IF(B6&gt;=J51,"Pas d'acompte possible",((DATEDIF(B6,J51,"d")+1)*B53/30)*90/100),"")</f>
        <v/>
      </c>
      <c r="E53" s="225" t="s">
        <v>101</v>
      </c>
      <c r="F53" s="226" t="str">
        <f>IF(E53="Acompte :",IF(D6&gt;=L51,"Pas d'acompte possible",((DATEDIF(D6,L51,"d")+1)*D53/30)*90/100),"")</f>
        <v/>
      </c>
      <c r="J53" s="48"/>
    </row>
    <row r="54" spans="1:16">
      <c r="B54" s="221"/>
      <c r="F54" s="227" t="str">
        <f>IF(E54="Acompte :",IF(D7&gt;=L52,"Pas d'acompte possible",((DATEDIF(D7,L52,"d")+1)*D54/30)*90/100),"")</f>
        <v/>
      </c>
      <c r="J54" s="48"/>
    </row>
    <row r="55" spans="1:16" ht="15.75" customHeight="1">
      <c r="A55" s="341" t="s">
        <v>156</v>
      </c>
      <c r="B55" s="228">
        <f>IF(Quotite&gt;=0.5,IF((C55*75)/100&gt;'Données générales'!I13,'Données générales'!I13,(C55*75)/100),IF((C55*75)/200&gt;'Données générales'!I14,'Données générales'!I14,(C55*75)/200))</f>
        <v>0</v>
      </c>
      <c r="C55" s="142"/>
      <c r="D55" s="1"/>
      <c r="F55" s="229" t="str">
        <f>IF(E55="Acompte :",IF(D8&gt;=L53,"Pas d'acompte possible",((DATEDIF(D8,L53,"d")+1)*D55/30)*90/100),"")</f>
        <v/>
      </c>
    </row>
    <row r="56" spans="1:16" ht="13.75" thickBot="1">
      <c r="B56" s="221"/>
    </row>
    <row r="57" spans="1:16" ht="13.75" thickBot="1">
      <c r="A57" s="340" t="s">
        <v>42</v>
      </c>
      <c r="B57" s="234">
        <f>IF(Basebrute="",0,Basebrute+B55+F49)</f>
        <v>7283.84</v>
      </c>
      <c r="C57" s="1" t="s">
        <v>178</v>
      </c>
      <c r="E57" s="153"/>
    </row>
    <row r="58" spans="1:16" ht="13.75" thickBot="1">
      <c r="A58" s="220"/>
      <c r="B58" s="221"/>
    </row>
    <row r="59" spans="1:16" ht="13.75" thickBot="1">
      <c r="A59" s="340" t="s">
        <v>42</v>
      </c>
      <c r="B59" s="234">
        <f>IF(B57="","",D74)</f>
        <v>87406.080000000002</v>
      </c>
      <c r="C59" s="1" t="str">
        <f>IF(I2D&lt;&gt;"",("(sur la durée du contrat, indeminté de fin de contrat incluse, le cas échéant )"),("(sur la durée du contrat)"))</f>
        <v>(sur la durée du contrat)</v>
      </c>
    </row>
    <row r="60" spans="1:16">
      <c r="A60" s="386"/>
      <c r="B60" s="387"/>
      <c r="G60" s="190"/>
      <c r="L60" s="173"/>
      <c r="M60" s="194"/>
      <c r="N60" s="194"/>
      <c r="O60" s="194"/>
      <c r="P60" s="173"/>
    </row>
    <row r="61" spans="1:16" ht="18" customHeight="1">
      <c r="A61" s="388" t="s">
        <v>173</v>
      </c>
      <c r="B61" s="389" t="str">
        <f>IF(OR(Quotite&lt;&gt;1,$F$16&lt;&gt;"OUI"),"-","Taux 1")</f>
        <v>-</v>
      </c>
      <c r="C61" s="390">
        <v>0.8</v>
      </c>
      <c r="D61" s="391" t="str">
        <f>IF(OR(Quotite&lt;&gt;1,$F$16&lt;&gt;"OUI"),"-",B59*C61)</f>
        <v>-</v>
      </c>
      <c r="E61" s="145"/>
      <c r="F61" s="145"/>
      <c r="G61" s="190"/>
      <c r="L61" s="173"/>
      <c r="M61" s="194"/>
      <c r="N61" s="194"/>
      <c r="O61" s="194"/>
      <c r="P61" s="173"/>
    </row>
    <row r="62" spans="1:16">
      <c r="A62" s="392"/>
      <c r="B62" s="389" t="str">
        <f>IF(OR(Quotite&lt;&gt;1,$F$16&lt;&gt;"OUI"),"-","Taux 2")</f>
        <v>-</v>
      </c>
      <c r="C62" s="393" t="str">
        <f>IF(OR(Quotite&lt;&gt;1,$F$16&lt;&gt;"OUI"),"-",1-C61)</f>
        <v>-</v>
      </c>
      <c r="D62" s="394" t="str">
        <f>IF(OR(Quotite&lt;&gt;1,$F$16&lt;&gt;"OUI"),"-",B59*C62)</f>
        <v>-</v>
      </c>
      <c r="E62" s="145"/>
      <c r="F62" s="145"/>
    </row>
    <row r="63" spans="1:16">
      <c r="I63" s="235" t="s">
        <v>100</v>
      </c>
      <c r="J63" s="362">
        <f>IF($D$6="","",EOMONTH(D6,0))</f>
        <v>46265</v>
      </c>
      <c r="L63" s="239"/>
    </row>
    <row r="64" spans="1:16" s="239" customFormat="1">
      <c r="A64" s="429" t="s">
        <v>49</v>
      </c>
      <c r="B64" s="430"/>
      <c r="C64" s="430"/>
      <c r="D64" s="430"/>
      <c r="E64" s="430"/>
      <c r="F64" s="430"/>
      <c r="G64" s="430"/>
      <c r="H64" s="237"/>
      <c r="I64" s="235" t="s">
        <v>99</v>
      </c>
      <c r="J64" s="238" t="b">
        <f>IF($D$6="","",IF(J63=D6,TRUE,FALSE))</f>
        <v>1</v>
      </c>
      <c r="L64" s="243"/>
    </row>
    <row r="65" spans="1:13" ht="19">
      <c r="A65" s="348" t="s">
        <v>46</v>
      </c>
      <c r="B65" s="348" t="s">
        <v>47</v>
      </c>
      <c r="C65" s="348" t="s">
        <v>50</v>
      </c>
      <c r="D65" s="348" t="s">
        <v>51</v>
      </c>
      <c r="E65" s="349" t="s">
        <v>52</v>
      </c>
      <c r="F65" s="428" t="s">
        <v>71</v>
      </c>
      <c r="G65" s="428"/>
      <c r="H65" s="349" t="s">
        <v>90</v>
      </c>
      <c r="I65" s="349" t="s">
        <v>98</v>
      </c>
      <c r="J65" s="349" t="s">
        <v>142</v>
      </c>
      <c r="L65" s="243"/>
      <c r="M65" s="243"/>
    </row>
    <row r="66" spans="1:13">
      <c r="A66" s="351">
        <f>IF($D$6="","",YEAR($B$6))</f>
        <v>2025</v>
      </c>
      <c r="B66" s="353">
        <f>IF($D$6="",0,IF(OR($J$64=FALSE,DAY(B6)&gt;1),DAYS360(I66,J66)+1,(DATEDIF(I66,J66,"m")+1)*30))</f>
        <v>120</v>
      </c>
      <c r="C66" s="354">
        <f>IF(A66="","",IF($B$57=0,"",H66+B55))</f>
        <v>7283.84</v>
      </c>
      <c r="D66" s="354">
        <f>IF($B$57=0,"",IF(A66="","",C66*12/360*B66))</f>
        <v>29135.360000000001</v>
      </c>
      <c r="E66" s="354">
        <f>IF($B$57="","",IF(A66="","",(H66+B$55)*12/360*B66))</f>
        <v>29135.360000000001</v>
      </c>
      <c r="F66" s="355" t="s">
        <v>69</v>
      </c>
      <c r="G66" s="356">
        <v>0.02</v>
      </c>
      <c r="H66" s="354">
        <f>IF(F66="Oui",Mensuel_hors_PPE*(1+G66),Mensuel_hors_PPE-B55)</f>
        <v>7283.84</v>
      </c>
      <c r="I66" s="363">
        <f>IF(A66="","",$B$6)</f>
        <v>45901</v>
      </c>
      <c r="J66" s="363">
        <f t="shared" ref="J66:J71" si="1">IF(A66="","",IF(A67="",IF($J$64=TRUE,IF(MONTH($J$63)=2,$J$63,DATE(YEAR(I66),MONTH($D$6),30)),$D$6),DATE(YEAR(I66),12,30)))</f>
        <v>46021</v>
      </c>
      <c r="L66" s="243"/>
    </row>
    <row r="67" spans="1:13">
      <c r="A67" s="352">
        <f>IF($D$6="","",IF(YEAR($D$6)=YEAR($B$6),"",YEAR($B$6)+1))</f>
        <v>2026</v>
      </c>
      <c r="B67" s="357">
        <f>IF(A67="","",IF(YEAR($D$6)&gt;A67,360,IF($J$64=FALSE,DAYS360(I67,J67)+1,(DATEDIF(I67,J67,"m")+1)*30)))</f>
        <v>240</v>
      </c>
      <c r="C67" s="358">
        <f>IF(A67="","",IF($B$57=0,"",H67+B55))</f>
        <v>7283.84</v>
      </c>
      <c r="D67" s="358">
        <f>IF($B$57=0,"",IF(A67="","",C67*12/360*B67))</f>
        <v>58270.720000000001</v>
      </c>
      <c r="E67" s="358">
        <f>IF($B$57="","",IF(A67="","",(H67+B$55)*12/360*B67))</f>
        <v>58270.720000000001</v>
      </c>
      <c r="F67" s="359" t="s">
        <v>69</v>
      </c>
      <c r="G67" s="360">
        <v>0.02</v>
      </c>
      <c r="H67" s="358">
        <f t="shared" ref="H67:H72" si="2">IF(F67="Oui",H66*(1+G67),H66)</f>
        <v>7283.84</v>
      </c>
      <c r="I67" s="366">
        <f t="shared" ref="I67:I72" si="3">IF(A67="","",IF($D$6&gt;J66,DATE(A67,1,1),""))</f>
        <v>46023</v>
      </c>
      <c r="J67" s="366">
        <f t="shared" si="1"/>
        <v>46264</v>
      </c>
      <c r="L67" s="243"/>
    </row>
    <row r="68" spans="1:13">
      <c r="A68" s="352" t="str">
        <f>IF($D$6="","",IF(YEAR($D$6)=YEAR($B$6),"",IF(YEAR($D$6)=(YEAR($B$6)+1),"",YEAR($B$6)+2)))</f>
        <v/>
      </c>
      <c r="B68" s="357" t="str">
        <f>IF(A68="","",IF(YEAR($D$6)&gt;A68,360,IF($J$64=FALSE,DAYS360(I68,J68)+1,(DATEDIF(I68,J68,"m")+1)*30)))</f>
        <v/>
      </c>
      <c r="C68" s="358" t="str">
        <f>IF(A68="","",IF($B$57=0,"",H68+B55))</f>
        <v/>
      </c>
      <c r="D68" s="358" t="str">
        <f>IF($B$57=0,"",IF(A68="","",IF(A69="",(C68*12/360*B68)+'Simulation coût i2d CDD'!$D$69,C68*12/360*B68)))</f>
        <v/>
      </c>
      <c r="E68" s="358" t="str">
        <f>IF($B$57="","",IF(A68="","",IF(A69="",((H68+B$55)*12/360*B68)+'Simulation coût i2d CDD'!$E$62,(H68+B$55)*12/360*B68)))</f>
        <v/>
      </c>
      <c r="F68" s="359" t="s">
        <v>69</v>
      </c>
      <c r="G68" s="360">
        <v>0.02</v>
      </c>
      <c r="H68" s="358">
        <f t="shared" si="2"/>
        <v>7283.84</v>
      </c>
      <c r="I68" s="366" t="str">
        <f t="shared" si="3"/>
        <v/>
      </c>
      <c r="J68" s="366" t="str">
        <f t="shared" si="1"/>
        <v/>
      </c>
      <c r="L68" s="243"/>
    </row>
    <row r="69" spans="1:13">
      <c r="A69" s="352" t="str">
        <f>IF($D$6="","",IF(YEAR($D$6)=YEAR($B$6),"",IF(YEAR($D$6)&lt;=(YEAR($B$6)+2),"",YEAR($B$6)+3)))</f>
        <v/>
      </c>
      <c r="B69" s="357" t="str">
        <f>IF(A69="","",IF(YEAR($D$6)&gt;A69,360,IF($J$64=FALSE,DAYS360(I69,J69)+1,(DATEDIF(I69,J69,"m")+1)*30)))</f>
        <v/>
      </c>
      <c r="C69" s="358" t="str">
        <f>IF(A69="","",IF($B$57=0,"",H69+B55))</f>
        <v/>
      </c>
      <c r="D69" s="358" t="str">
        <f>IF($B$57=0,"",IF(A69="","",IF(A70="",(C69*12/360*B69)+'Simulation coût i2d CDD'!$D$69,C69*12/360*B69)))</f>
        <v/>
      </c>
      <c r="E69" s="358" t="str">
        <f>IF($B$57="","",IF(A69="","",IF(A70="",((H69+B$55)*12/360*B69)+'Simulation coût i2d CDD'!$E$62,(H69+B$55)*12/360*B69)))</f>
        <v/>
      </c>
      <c r="F69" s="359" t="s">
        <v>69</v>
      </c>
      <c r="G69" s="360"/>
      <c r="H69" s="358">
        <f t="shared" si="2"/>
        <v>7283.84</v>
      </c>
      <c r="I69" s="366" t="str">
        <f t="shared" si="3"/>
        <v/>
      </c>
      <c r="J69" s="366" t="str">
        <f t="shared" si="1"/>
        <v/>
      </c>
      <c r="L69" s="243"/>
    </row>
    <row r="70" spans="1:13">
      <c r="A70" s="352" t="str">
        <f>IF($D$6="","",IF(YEAR($D$6)=YEAR($B$6),"",IF(YEAR($D$6)&lt;=(YEAR($B$6)+3),"",YEAR($B$6)+4)))</f>
        <v/>
      </c>
      <c r="B70" s="357" t="str">
        <f>IF(A70="","",IF(YEAR($D$6)&gt;A70,360,IF($J$64=FALSE,DAYS360(I70,J70)+1,(DATEDIF(I70,J70,"m")+1)*30)))</f>
        <v/>
      </c>
      <c r="C70" s="358" t="str">
        <f>IF(A70="","",IF($B$57=0,"",H70+B55))</f>
        <v/>
      </c>
      <c r="D70" s="358" t="str">
        <f>IF($B$57=0,"",IF(A70="","",IF(A72="",(C70*12/360*B70)+'Simulation coût i2d CDD'!$D$69,C70*12/360*B70)))</f>
        <v/>
      </c>
      <c r="E70" s="358" t="str">
        <f>IF($B$57="","",IF(A70="","",IF(A72="",((H70+B$55)*12/360*B70)+'Simulation coût i2d CDD'!$E$62,(H70+B$55)*12/360*B70)))</f>
        <v/>
      </c>
      <c r="F70" s="359" t="s">
        <v>69</v>
      </c>
      <c r="G70" s="360"/>
      <c r="H70" s="358">
        <f t="shared" si="2"/>
        <v>7283.84</v>
      </c>
      <c r="I70" s="366" t="str">
        <f t="shared" si="3"/>
        <v/>
      </c>
      <c r="J70" s="366" t="str">
        <f t="shared" si="1"/>
        <v/>
      </c>
      <c r="L70" s="243"/>
    </row>
    <row r="71" spans="1:13">
      <c r="A71" s="352" t="str">
        <f>IF($D$6="","",IF(YEAR($D$6)=YEAR($B$6),"",IF(YEAR($D$6)&lt;=(YEAR($B$6)+4),"",YEAR($B$6)+5)))</f>
        <v/>
      </c>
      <c r="B71" s="357" t="str">
        <f>IF(A71="","",IF(YEAR($D$6)&gt;A71,360,IF($J$64=FALSE,DAYS360(I71,J71)+1,(DATEDIF(I71,J71,"m")+1)*30)))</f>
        <v/>
      </c>
      <c r="C71" s="358" t="str">
        <f>IF(A71="","",IF($B$57=0,"",H71+B55))</f>
        <v/>
      </c>
      <c r="D71" s="358" t="str">
        <f>IF($B$57=0,"",IF(A71="","",IF(A73="",(C71*12/360*B71)+'Simulation coût i2d CDD'!$D$69,C71*12/360*B71)))</f>
        <v/>
      </c>
      <c r="E71" s="358" t="str">
        <f>IF($B$57="","",IF(A71="","",IF(A73="",((H71+B$55)*12/360*B71)+'Simulation coût i2d CDD'!$E$62,(H71+B$55)*12/360*B71)))</f>
        <v/>
      </c>
      <c r="F71" s="359" t="s">
        <v>69</v>
      </c>
      <c r="G71" s="360"/>
      <c r="H71" s="358">
        <f t="shared" si="2"/>
        <v>7283.84</v>
      </c>
      <c r="I71" s="366" t="str">
        <f t="shared" si="3"/>
        <v/>
      </c>
      <c r="J71" s="366" t="str">
        <f t="shared" si="1"/>
        <v/>
      </c>
    </row>
    <row r="72" spans="1:13">
      <c r="A72" s="344" t="str">
        <f>IF($D$6="","",IF(YEAR($D$6)=YEAR($B$6),"",IF(YEAR($D$6)&lt;=(YEAR($B$6)+5),"",YEAR($B$6)+6)))</f>
        <v/>
      </c>
      <c r="B72" s="350" t="str">
        <f>IF(A72="","",IF($J$64=FALSE,DAYS360(I72,J72)+1,(DATEDIF(I72,J72,"m")+1)*30))</f>
        <v/>
      </c>
      <c r="C72" s="345" t="str">
        <f>IF(A72="","",IF($B$57=0,"",H72+B55))</f>
        <v/>
      </c>
      <c r="D72" s="345" t="str">
        <f>IF($B$57=0,"",IF(A72="","",IF(A74="",(C72*12/360*B72)+'Simulation coût i2d CDD'!$D$69,C72*12/360*B72)))</f>
        <v/>
      </c>
      <c r="E72" s="345" t="str">
        <f>IF($B$57="","",IF(A72="","",IF(A74="",((H72+B$55)*12/360*B72)+'Simulation coût i2d CDD'!$E$62,(H72+B$55)*12/360*B72)))</f>
        <v/>
      </c>
      <c r="F72" s="346" t="s">
        <v>69</v>
      </c>
      <c r="G72" s="347"/>
      <c r="H72" s="345">
        <f t="shared" si="2"/>
        <v>7283.84</v>
      </c>
      <c r="I72" s="367" t="str">
        <f t="shared" si="3"/>
        <v/>
      </c>
      <c r="J72" s="367" t="str">
        <f>IF(A72="","",IF($J$64=TRUE,IF(MONTH($J$63)=2,$J$63,DATE(YEAR(I72),MONTH($D$6),30)),$D$6))</f>
        <v/>
      </c>
      <c r="K72" s="316"/>
    </row>
    <row r="73" spans="1:13">
      <c r="A73" s="452" t="s">
        <v>171</v>
      </c>
      <c r="B73" s="453"/>
      <c r="C73" s="454"/>
      <c r="D73" s="343">
        <f>'Simulation coût i2d CDD'!$D$69</f>
        <v>0</v>
      </c>
      <c r="E73" s="361"/>
      <c r="H73" s="410" t="str">
        <f>H6</f>
        <v/>
      </c>
      <c r="J73" s="410"/>
    </row>
    <row r="74" spans="1:13">
      <c r="A74" s="447" t="s">
        <v>150</v>
      </c>
      <c r="B74" s="448"/>
      <c r="C74" s="449"/>
      <c r="D74" s="251">
        <f>IF(B57="","",SUM(D66:D73))</f>
        <v>87406.080000000002</v>
      </c>
    </row>
  </sheetData>
  <sheetProtection algorithmName="SHA-512" hashValue="CCwVvCAIi++UdnoW3hjKCCFxxSCCu0jXPbU1D3CxjLZicJTNIYA3yCFnziYr7Ew0IQ/GN8Ae/lGecO4mblXStg==" saltValue="JxY3VB8SxjhjhYzsNMR0Rg==" spinCount="100000" sheet="1" objects="1" scenarios="1"/>
  <protectedRanges>
    <protectedRange sqref="E41" name="Plage7"/>
    <protectedRange sqref="B12" name="Plage4"/>
    <protectedRange sqref="E39" name="Plage1"/>
    <protectedRange sqref="C21" name="Plage3"/>
  </protectedRanges>
  <mergeCells count="19">
    <mergeCell ref="A74:C74"/>
    <mergeCell ref="B29:B30"/>
    <mergeCell ref="C29:F29"/>
    <mergeCell ref="A73:C73"/>
    <mergeCell ref="B2:F2"/>
    <mergeCell ref="I41:J41"/>
    <mergeCell ref="C10:E10"/>
    <mergeCell ref="M31:O31"/>
    <mergeCell ref="M24:O24"/>
    <mergeCell ref="F3:O3"/>
    <mergeCell ref="B4:D4"/>
    <mergeCell ref="C18:D18"/>
    <mergeCell ref="B18:B19"/>
    <mergeCell ref="M28:O28"/>
    <mergeCell ref="M26:O26"/>
    <mergeCell ref="G10:I10"/>
    <mergeCell ref="B8:D8"/>
    <mergeCell ref="D16:E16"/>
    <mergeCell ref="M30:O30"/>
  </mergeCells>
  <phoneticPr fontId="0" type="noConversion"/>
  <conditionalFormatting sqref="A61">
    <cfRule type="expression" dxfId="31" priority="5" stopIfTrue="1">
      <formula>IF(OR(LEFT(graderef,2)="38",LEFT(graderef,2)="39"),TRUE,FALSE)</formula>
    </cfRule>
  </conditionalFormatting>
  <conditionalFormatting sqref="A21:D22">
    <cfRule type="expression" dxfId="30" priority="17" stopIfTrue="1">
      <formula>IF(OR(LEFT(graderef,2)="38",LEFT(graderef,2)="39"),TRUE,FALSE)</formula>
    </cfRule>
  </conditionalFormatting>
  <conditionalFormatting sqref="B27">
    <cfRule type="expression" dxfId="29" priority="9" stopIfTrue="1">
      <formula>IF(OR(LEFT(graderef,2)="38",LEFT(graderef,2)="39"),TRUE,FALSE)</formula>
    </cfRule>
  </conditionalFormatting>
  <conditionalFormatting sqref="B61:D62">
    <cfRule type="expression" dxfId="28" priority="3">
      <formula>IF(OR($B$14&lt;&gt;1,$F$16&lt;&gt;"OUI"),TRUE,FALSE)</formula>
    </cfRule>
  </conditionalFormatting>
  <conditionalFormatting sqref="C23">
    <cfRule type="expression" dxfId="27" priority="33" stopIfTrue="1">
      <formula>IF($B$23="+ de 3 enfants",TRUE,FALSE)</formula>
    </cfRule>
  </conditionalFormatting>
  <conditionalFormatting sqref="C61">
    <cfRule type="expression" dxfId="26" priority="4" stopIfTrue="1">
      <formula>IF(OR($B$14&lt;&gt;1,$F$16&lt;&gt;"OUI"),TRUE,FALSE)</formula>
    </cfRule>
  </conditionalFormatting>
  <conditionalFormatting sqref="C10:F10">
    <cfRule type="expression" dxfId="25" priority="15" stopIfTrue="1">
      <formula>IF(AND($B$6&gt;=42614,(LEFT(B8,2)="39")),TRUE,FALSE)</formula>
    </cfRule>
    <cfRule type="expression" dxfId="24" priority="16" stopIfTrue="1">
      <formula>IF(AND($B$6&gt;=42614,(LEFT(B8,2)="06")),TRUE,FALSE)</formula>
    </cfRule>
  </conditionalFormatting>
  <conditionalFormatting sqref="D6">
    <cfRule type="cellIs" dxfId="23" priority="7" stopIfTrue="1" operator="lessThan">
      <formula>$B$6</formula>
    </cfRule>
  </conditionalFormatting>
  <conditionalFormatting sqref="D21:D22">
    <cfRule type="expression" dxfId="22" priority="19" stopIfTrue="1">
      <formula>IF($E$22="Demander autorisation au DG",TRUE,FALSE)</formula>
    </cfRule>
  </conditionalFormatting>
  <conditionalFormatting sqref="D23">
    <cfRule type="cellIs" dxfId="21" priority="34" stopIfTrue="1" operator="lessThan">
      <formula>0</formula>
    </cfRule>
  </conditionalFormatting>
  <conditionalFormatting sqref="D47">
    <cfRule type="expression" dxfId="20" priority="10">
      <formula>$A$47=""</formula>
    </cfRule>
  </conditionalFormatting>
  <conditionalFormatting sqref="D53:F53 F54:F55">
    <cfRule type="expression" dxfId="19" priority="32" stopIfTrue="1">
      <formula>IF($C$53="Sans acompte",TRUE,FALSE)</formula>
    </cfRule>
  </conditionalFormatting>
  <conditionalFormatting sqref="F10">
    <cfRule type="expression" dxfId="18" priority="12" stopIfTrue="1">
      <formula>IF(AND($B$6&gt;=42614,(LEFT(B8,2)="39")),TRUE,FALSE)</formula>
    </cfRule>
    <cfRule type="expression" dxfId="17" priority="14" stopIfTrue="1">
      <formula>IF(AND($B$6&gt;=42614,(LEFT(B8,2)="06")),TRUE,FALSE)</formula>
    </cfRule>
  </conditionalFormatting>
  <conditionalFormatting sqref="F16">
    <cfRule type="expression" dxfId="16" priority="6" stopIfTrue="1">
      <formula>IF($J$16="",TRUE,FALSE)</formula>
    </cfRule>
  </conditionalFormatting>
  <conditionalFormatting sqref="G66:G72">
    <cfRule type="expression" dxfId="15" priority="11" stopIfTrue="1">
      <formula>IF($F66="Oui",TRUE,FALSE)</formula>
    </cfRule>
  </conditionalFormatting>
  <dataValidations count="10">
    <dataValidation type="list" allowBlank="1" showInputMessage="1" showErrorMessage="1" sqref="C53" xr:uid="{00000000-0002-0000-0000-000000000000}">
      <formula1>Acompte</formula1>
    </dataValidation>
    <dataValidation type="list" allowBlank="1" showInputMessage="1" showErrorMessage="1" sqref="F16 F27 F66:F72" xr:uid="{00000000-0002-0000-0000-000001000000}">
      <formula1>Augment_previs</formula1>
    </dataValidation>
    <dataValidation type="list" allowBlank="1" showInputMessage="1" showErrorMessage="1" sqref="B12" xr:uid="{00000000-0002-0000-0000-000002000000}">
      <formula1>Res.administrative</formula1>
    </dataValidation>
    <dataValidation type="list" allowBlank="1" showInputMessage="1" showErrorMessage="1" sqref="B8" xr:uid="{00000000-0002-0000-0000-000003000000}">
      <formula1>Gradech</formula1>
    </dataValidation>
    <dataValidation type="list" allowBlank="1" showInputMessage="1" showErrorMessage="1" sqref="F12" xr:uid="{00000000-0002-0000-0000-000004000000}">
      <formula1>Domicilefiscal</formula1>
    </dataValidation>
    <dataValidation type="custom" allowBlank="1" showInputMessage="1" showErrorMessage="1" errorTitle="Erreur de saisie" error="La quotité ne peut être supérieure à 100%" sqref="B14" xr:uid="{00000000-0002-0000-0000-000005000000}">
      <formula1>B14&lt;=100%</formula1>
    </dataValidation>
    <dataValidation type="decimal" allowBlank="1" showInputMessage="1" showErrorMessage="1" errorTitle="Erreur" error="Dépassement du montant de modulation autorisé." sqref="F10" xr:uid="{00000000-0002-0000-0000-000006000000}">
      <formula1>0</formula1>
      <formula2>H8-F8</formula2>
    </dataValidation>
    <dataValidation type="list" allowBlank="1" showInputMessage="1" showErrorMessage="1" sqref="C21" xr:uid="{00000000-0002-0000-0000-000007000000}">
      <formula1>Indemresidence</formula1>
    </dataValidation>
    <dataValidation type="date" operator="greaterThanOrEqual" allowBlank="1" showInputMessage="1" showErrorMessage="1" errorTitle="Pour info" error="Pour un recrutement effectué avant le 01/04/2015 merci d'utiliser la version 8 4 13" sqref="B6" xr:uid="{00000000-0002-0000-0000-000008000000}">
      <formula1>$I6</formula1>
    </dataValidation>
    <dataValidation type="list" allowBlank="1" showInputMessage="1" showErrorMessage="1" sqref="E25" xr:uid="{0CD3D780-664F-4068-A24D-0347190CBAAB}">
      <formula1>"Oui,Non"</formula1>
    </dataValidation>
  </dataValidations>
  <printOptions horizontalCentered="1" verticalCentered="1"/>
  <pageMargins left="0.15748031496062992" right="0.15748031496062992" top="0.31496062992125984" bottom="0.59055118110236227" header="0.31496062992125984" footer="0.51181102362204722"/>
  <pageSetup paperSize="9" scale="97" orientation="portrait" r:id="rId1"/>
  <headerFooter alignWithMargins="0">
    <oddFooter>&amp;L&amp;"Arial Narrow,Normal"&amp;8[Fichier]&amp;R&amp;"Arial Narrow,Normal"&amp;8Simulation éditée le &amp;D</oddFooter>
  </headerFooter>
  <ignoredErrors>
    <ignoredError sqref="B38 B47" formula="1"/>
    <ignoredError sqref="D73" evalError="1"/>
  </ignoredError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5">
    <tabColor indexed="56"/>
  </sheetPr>
  <dimension ref="A1:P71"/>
  <sheetViews>
    <sheetView showGridLines="0" topLeftCell="A43" zoomScale="125" zoomScaleNormal="100" workbookViewId="0">
      <selection activeCell="F8" sqref="F8"/>
    </sheetView>
  </sheetViews>
  <sheetFormatPr baseColWidth="10" defaultColWidth="11.40625" defaultRowHeight="13"/>
  <cols>
    <col min="1" max="1" width="26.26953125" style="1" bestFit="1" customWidth="1"/>
    <col min="2" max="2" width="12.7265625" style="1" customWidth="1"/>
    <col min="3" max="3" width="11.7265625" style="1" bestFit="1" customWidth="1"/>
    <col min="4" max="4" width="14.26953125" style="143" customWidth="1"/>
    <col min="5" max="5" width="12.26953125" style="1" customWidth="1"/>
    <col min="6" max="6" width="12" style="143" bestFit="1" customWidth="1"/>
    <col min="7" max="7" width="6.40625" style="1" customWidth="1"/>
    <col min="8" max="8" width="8.7265625" style="1" customWidth="1"/>
    <col min="9" max="9" width="9" style="1" bestFit="1" customWidth="1"/>
    <col min="10" max="10" width="17.7265625" style="1" customWidth="1"/>
    <col min="11" max="11" width="13.26953125" style="1" bestFit="1" customWidth="1"/>
    <col min="12" max="12" width="14.40625" style="1" bestFit="1" customWidth="1"/>
    <col min="13" max="13" width="9.40625" style="1" bestFit="1" customWidth="1"/>
    <col min="14" max="16384" width="11.40625" style="1"/>
  </cols>
  <sheetData>
    <row r="1" spans="1:16" ht="17.25" customHeight="1">
      <c r="J1" s="48"/>
      <c r="K1" s="48"/>
    </row>
    <row r="2" spans="1:16" ht="15.75">
      <c r="A2" s="461" t="s">
        <v>145</v>
      </c>
      <c r="B2" s="461"/>
      <c r="C2" s="461"/>
      <c r="D2" s="461"/>
      <c r="E2" s="461"/>
      <c r="F2" s="461"/>
      <c r="G2" s="305"/>
      <c r="H2" s="305"/>
      <c r="I2" s="305"/>
      <c r="J2" s="305"/>
      <c r="K2" s="305"/>
      <c r="L2" s="305"/>
      <c r="M2" s="305"/>
      <c r="N2" s="305"/>
      <c r="O2" s="305"/>
      <c r="P2" s="144"/>
    </row>
    <row r="3" spans="1:16" ht="18.75" customHeight="1">
      <c r="F3" s="436"/>
      <c r="G3" s="436"/>
      <c r="H3" s="436"/>
      <c r="I3" s="436"/>
      <c r="J3" s="436"/>
      <c r="K3" s="436"/>
      <c r="L3" s="436"/>
      <c r="M3" s="436"/>
      <c r="N3" s="436"/>
      <c r="O3" s="436"/>
    </row>
    <row r="4" spans="1:16">
      <c r="A4" s="145" t="s">
        <v>11</v>
      </c>
      <c r="B4" s="466"/>
      <c r="C4" s="467"/>
      <c r="D4" s="468"/>
      <c r="E4" s="145" t="s">
        <v>89</v>
      </c>
      <c r="F4" s="369"/>
      <c r="G4" s="146"/>
      <c r="I4" s="147"/>
      <c r="J4" s="148"/>
      <c r="K4" s="147"/>
    </row>
    <row r="5" spans="1:16" ht="1.5" customHeight="1">
      <c r="A5" s="149"/>
      <c r="B5" s="150"/>
      <c r="C5" s="150"/>
      <c r="D5" s="150"/>
      <c r="E5" s="150"/>
      <c r="F5" s="151"/>
      <c r="I5" s="147"/>
      <c r="K5" s="147"/>
    </row>
    <row r="6" spans="1:16">
      <c r="A6" s="145" t="s">
        <v>54</v>
      </c>
      <c r="B6" s="370">
        <f>D6-30</f>
        <v>46235</v>
      </c>
      <c r="C6" s="145" t="s">
        <v>43</v>
      </c>
      <c r="D6" s="370">
        <f>'Simuler le coût d''un CDD'!D6</f>
        <v>46265</v>
      </c>
      <c r="E6" s="145" t="s">
        <v>116</v>
      </c>
      <c r="F6" s="152">
        <f>IF(D6="","",IF(OR(DAY(B6)&gt;1,EOMONTH(D6,0)&lt;&gt;D6),(DAYS360(B6,D6)+1)/30,DATEDIF(B6,D6,"m")+1))</f>
        <v>1</v>
      </c>
      <c r="G6" s="153"/>
      <c r="H6" s="154"/>
      <c r="I6" s="155">
        <v>42095</v>
      </c>
    </row>
    <row r="7" spans="1:16" ht="3" customHeight="1">
      <c r="A7" s="145"/>
      <c r="C7" s="156"/>
    </row>
    <row r="8" spans="1:16">
      <c r="A8" s="145"/>
      <c r="D8" s="1"/>
      <c r="E8" s="145" t="s">
        <v>128</v>
      </c>
      <c r="F8" s="157" t="str">
        <f>I2D</f>
        <v/>
      </c>
      <c r="H8" s="158">
        <f>IF(graderef="","",VLOOKUP(graderef,test3,5))</f>
        <v>4651.78</v>
      </c>
    </row>
    <row r="9" spans="1:16" ht="2.25" customHeight="1">
      <c r="C9" s="159"/>
    </row>
    <row r="10" spans="1:16">
      <c r="C10" s="434" t="str">
        <f>IF(Indice="","","Modulation dans la limite de " &amp; ROUND((VLOOKUP(graderef,test3,5))-Indice,2) &amp;" € :")</f>
        <v/>
      </c>
      <c r="D10" s="434"/>
      <c r="E10" s="434"/>
      <c r="F10" s="371">
        <v>0</v>
      </c>
      <c r="G10" s="444"/>
      <c r="H10" s="444"/>
      <c r="I10" s="444"/>
    </row>
    <row r="11" spans="1:16" ht="2.25" customHeight="1">
      <c r="C11" s="159"/>
    </row>
    <row r="12" spans="1:16">
      <c r="A12" s="145" t="s">
        <v>37</v>
      </c>
      <c r="B12" s="372">
        <f>Departement</f>
        <v>1</v>
      </c>
      <c r="C12" s="160" t="str">
        <f>'Simuler le coût d''un CDD'!C12</f>
        <v>Hors Alsace-Moselle</v>
      </c>
      <c r="D12" s="98"/>
      <c r="E12" s="161" t="s">
        <v>36</v>
      </c>
      <c r="F12" s="373" t="s">
        <v>34</v>
      </c>
    </row>
    <row r="13" spans="1:16" ht="2.25" customHeight="1">
      <c r="A13" s="145"/>
      <c r="B13" s="162"/>
      <c r="C13" s="98"/>
      <c r="D13" s="98"/>
      <c r="E13" s="98"/>
    </row>
    <row r="14" spans="1:16">
      <c r="A14" s="145" t="s">
        <v>14</v>
      </c>
      <c r="B14" s="374">
        <v>1</v>
      </c>
      <c r="C14" s="98"/>
      <c r="D14" s="98"/>
      <c r="E14" s="145" t="s">
        <v>97</v>
      </c>
      <c r="F14" s="375" t="s">
        <v>58</v>
      </c>
    </row>
    <row r="15" spans="1:16">
      <c r="A15" s="163"/>
      <c r="B15" s="163"/>
      <c r="C15" s="163"/>
      <c r="D15" s="164"/>
    </row>
    <row r="16" spans="1:16">
      <c r="B16" s="442" t="s">
        <v>9</v>
      </c>
      <c r="C16" s="462" t="s">
        <v>15</v>
      </c>
      <c r="D16" s="463"/>
    </row>
    <row r="17" spans="1:16">
      <c r="A17" s="153"/>
      <c r="B17" s="443"/>
      <c r="C17" s="165" t="s">
        <v>1</v>
      </c>
      <c r="D17" s="166" t="s">
        <v>16</v>
      </c>
      <c r="F17" s="1"/>
    </row>
    <row r="18" spans="1:16">
      <c r="A18" s="167" t="s">
        <v>129</v>
      </c>
      <c r="B18" s="168"/>
      <c r="C18" s="169"/>
      <c r="D18" s="170">
        <f>IF(Indice="",0,Indice)</f>
        <v>0</v>
      </c>
      <c r="E18" s="171"/>
      <c r="F18" s="172"/>
      <c r="L18" s="173"/>
      <c r="M18" s="173"/>
      <c r="N18" s="173"/>
      <c r="O18" s="173"/>
      <c r="P18" s="173"/>
    </row>
    <row r="19" spans="1:16">
      <c r="A19" s="10" t="s">
        <v>12</v>
      </c>
      <c r="B19" s="174">
        <f>IF(graderef="","",IF(OR(LEFT(graderef,2)="38",LEFT(graderef,2)="39"),"",IF(Quotite="","",D18)))</f>
        <v>0</v>
      </c>
      <c r="C19" s="175">
        <v>0</v>
      </c>
      <c r="D19" s="176">
        <f>IF(B19="",0,IF(Indice&lt;PlancherIR,C19*ROUNDDOWN(CEILING(PlancherIR*Valeurindice,1)*Quotite/12,2),ROUNDDOWN(B19*C19,2)))</f>
        <v>0</v>
      </c>
      <c r="E19" s="177" t="str">
        <f>IF(graderef="","",IF(OR(LEFT(graderef,2)="38",LEFT(graderef,2)="39"),"Pas d'indemnité de résidence",""))</f>
        <v/>
      </c>
      <c r="F19" s="48"/>
      <c r="L19" s="173"/>
      <c r="M19" s="173"/>
      <c r="N19" s="173"/>
      <c r="O19" s="173"/>
      <c r="P19" s="173"/>
    </row>
    <row r="20" spans="1:16">
      <c r="A20" s="10" t="s">
        <v>57</v>
      </c>
      <c r="B20" s="174"/>
      <c r="C20" s="178">
        <f>IF(graderef="","",IF(D18=0,0,D20/(D18+D19)))</f>
        <v>0</v>
      </c>
      <c r="D20" s="376">
        <v>0</v>
      </c>
      <c r="E20" s="177" t="str">
        <f>IF(graderef="","",IF(OR(LEFT(graderef,2)="38",LEFT(graderef,2)="39"),"Pas de majoration possible",IF(C20&gt;0.15,"Demander autorisation au DG","")))</f>
        <v/>
      </c>
      <c r="F20" s="172"/>
      <c r="L20" s="173"/>
      <c r="M20" s="173"/>
      <c r="N20" s="179"/>
      <c r="O20" s="173"/>
      <c r="P20" s="173"/>
    </row>
    <row r="21" spans="1:16">
      <c r="A21" s="10" t="s">
        <v>81</v>
      </c>
      <c r="B21" s="377">
        <v>0</v>
      </c>
      <c r="C21" s="180">
        <v>4</v>
      </c>
      <c r="D21" s="176">
        <f>IF(B21&lt;=3,VLOOKUP(B21,'Données générales'!G34:H38,2),('Données générales'!H37+(B21-'Données générales'!G37)*'Données générales'!H38))</f>
        <v>0</v>
      </c>
      <c r="E21" s="181"/>
      <c r="F21" s="182"/>
      <c r="L21" s="173"/>
      <c r="M21" s="173"/>
      <c r="N21" s="173"/>
      <c r="O21" s="173"/>
      <c r="P21" s="173"/>
    </row>
    <row r="22" spans="1:16">
      <c r="A22" s="11" t="s">
        <v>82</v>
      </c>
      <c r="B22" s="183"/>
      <c r="C22" s="184"/>
      <c r="D22" s="378">
        <v>0</v>
      </c>
      <c r="F22" s="182"/>
      <c r="L22" s="173"/>
      <c r="M22" s="435"/>
      <c r="N22" s="435"/>
      <c r="O22" s="435"/>
      <c r="P22" s="173"/>
    </row>
    <row r="23" spans="1:16">
      <c r="A23" s="185" t="s">
        <v>13</v>
      </c>
      <c r="C23" s="186"/>
      <c r="D23" s="187">
        <f>IF(E20="Pas de majoration possible",IF(D18="","",IF(Num_dept="","",D18+D19+D21+D22)),IF(D18="","",IF(Num_dept="","",D18+D19+D20+D21+D22)))</f>
        <v>0</v>
      </c>
      <c r="E23" s="188"/>
      <c r="F23" s="189"/>
      <c r="G23" s="190"/>
      <c r="L23" s="173"/>
      <c r="M23" s="435"/>
      <c r="N23" s="435"/>
      <c r="O23" s="435"/>
      <c r="P23" s="173"/>
    </row>
    <row r="24" spans="1:16">
      <c r="A24" s="189"/>
      <c r="B24" s="189"/>
      <c r="C24" s="189"/>
      <c r="D24" s="189"/>
      <c r="E24" s="189"/>
      <c r="F24" s="189"/>
      <c r="G24" s="190"/>
      <c r="L24" s="173"/>
      <c r="M24" s="194"/>
      <c r="N24" s="194"/>
      <c r="O24" s="194"/>
      <c r="P24" s="173"/>
    </row>
    <row r="25" spans="1:16">
      <c r="B25" s="191"/>
      <c r="C25" s="186"/>
      <c r="D25" s="182"/>
      <c r="E25" s="192"/>
      <c r="F25" s="182"/>
      <c r="L25" s="173"/>
      <c r="M25" s="435"/>
      <c r="N25" s="435"/>
      <c r="O25" s="435"/>
      <c r="P25" s="173"/>
    </row>
    <row r="26" spans="1:16">
      <c r="B26" s="442" t="s">
        <v>9</v>
      </c>
      <c r="C26" s="464" t="s">
        <v>10</v>
      </c>
      <c r="D26" s="465"/>
      <c r="E26" s="465"/>
      <c r="F26" s="462"/>
      <c r="H26" s="193"/>
      <c r="L26" s="173"/>
      <c r="M26" s="194"/>
      <c r="N26" s="195"/>
      <c r="O26" s="195"/>
      <c r="P26" s="173"/>
    </row>
    <row r="27" spans="1:16">
      <c r="B27" s="443"/>
      <c r="C27" s="196" t="s">
        <v>62</v>
      </c>
      <c r="D27" s="197" t="s">
        <v>96</v>
      </c>
      <c r="E27" s="196" t="s">
        <v>62</v>
      </c>
      <c r="F27" s="198" t="s">
        <v>95</v>
      </c>
      <c r="L27" s="173"/>
      <c r="M27" s="435"/>
      <c r="N27" s="435"/>
      <c r="O27" s="435"/>
      <c r="P27" s="173"/>
    </row>
    <row r="28" spans="1:16">
      <c r="A28" s="167" t="str">
        <f>'Données générales'!L5</f>
        <v>CSG déductible</v>
      </c>
      <c r="B28" s="199">
        <f>IF($F$12="Hors France","",IF(Basebrute="","",Basebrute*98.25/100))</f>
        <v>0</v>
      </c>
      <c r="C28" s="200">
        <f>IF($F$12="Hors France","",IF(Num_dept="","",IF(Num_dept=2,'Données générales'!M5,IF(Num_dept=2,'Données générales'!Q5,IF(Num_dept=1,'Données générales'!O5,IF(Num_dept=2,'Données générales'!Q5))))))</f>
        <v>6.8000000000000005E-2</v>
      </c>
      <c r="D28" s="199">
        <f>ROUND(IF($F$12="",0,IF($F$12="Hors France",0,IF(Basebrute="",0,B28*C28))),2)</f>
        <v>0</v>
      </c>
      <c r="E28" s="200"/>
      <c r="F28" s="201"/>
      <c r="L28" s="173"/>
      <c r="M28" s="435"/>
      <c r="N28" s="435"/>
      <c r="O28" s="435"/>
      <c r="P28" s="173"/>
    </row>
    <row r="29" spans="1:16">
      <c r="A29" s="10" t="str">
        <f>'Données générales'!L6</f>
        <v>CRDS non déductible</v>
      </c>
      <c r="B29" s="199">
        <f>IF($F$12="Hors France","",IF(Basebrute="","",Basebrute*98.25/100))</f>
        <v>0</v>
      </c>
      <c r="C29" s="200">
        <f>IF($F$12="Hors France","",IF(Num_dept="","",IF(Num_dept=2,'Données générales'!M6,IF(Num_dept=2,'Données générales'!Q6,IF(Num_dept=1,'Données générales'!O6,IF(Num_dept=2,'Données générales'!Q6))))))</f>
        <v>5.0000000000000001E-3</v>
      </c>
      <c r="D29" s="199">
        <f>ROUND(IF($F$12="",0,IF($F$12="Hors France",0,IF(Basebrute="",0,B29*C29))),2)</f>
        <v>0</v>
      </c>
      <c r="E29" s="200"/>
      <c r="F29" s="201"/>
      <c r="L29" s="173"/>
      <c r="M29" s="173"/>
      <c r="N29" s="173"/>
      <c r="O29" s="173"/>
      <c r="P29" s="173"/>
    </row>
    <row r="30" spans="1:16">
      <c r="A30" s="10" t="str">
        <f>'Données générales'!L7</f>
        <v>CSG non déductible</v>
      </c>
      <c r="B30" s="199">
        <f>IF($F$12="Hors France","",IF(Basebrute="","",Basebrute*98.25/100))</f>
        <v>0</v>
      </c>
      <c r="C30" s="200">
        <f>IF($F$12="Hors France","",IF(Num_dept="","",IF(Num_dept=2,'Données générales'!M7,IF(Num_dept=2,'Données générales'!Q7,IF(Num_dept=1,'Données générales'!O7,IF(Num_dept=2,'Données générales'!Q7))))))</f>
        <v>2.4E-2</v>
      </c>
      <c r="D30" s="199">
        <f>ROUND(IF($F$12="",0,IF($F$12="Hors France",0,IF(Basebrute="",0,B30*C30))),2)</f>
        <v>0</v>
      </c>
      <c r="E30" s="200"/>
      <c r="F30" s="201"/>
    </row>
    <row r="31" spans="1:16">
      <c r="A31" s="10" t="str">
        <f>'Données générales'!$L$8</f>
        <v>Solidarité autonomie</v>
      </c>
      <c r="B31" s="199">
        <f>IF(Basebrute="","",Basebrute)</f>
        <v>0</v>
      </c>
      <c r="C31" s="200"/>
      <c r="D31" s="202"/>
      <c r="E31" s="200">
        <f>IF(Num_dept=67,'Données générales'!N8,IF(Num_dept=2,'Données générales'!R8,IF(Num_dept=1,'Données générales'!P8,IF(Num_dept=2,'Données générales'!R8))))</f>
        <v>3.0000000000000001E-3</v>
      </c>
      <c r="F31" s="203">
        <f>ROUND(IF(Basebrute="",0,B31*E31),2)</f>
        <v>0</v>
      </c>
    </row>
    <row r="32" spans="1:16">
      <c r="A32" s="10" t="str">
        <f>'Données générales'!$L$10</f>
        <v>SS Maladie (sur tot.)</v>
      </c>
      <c r="B32" s="199">
        <f t="shared" ref="B32:B38" si="0">IF(Basebrute="","",Basebrute)</f>
        <v>0</v>
      </c>
      <c r="C32" s="200">
        <f>IF(Num_dept=2,'Données générales'!M10,IF(Num_dept=2,'Données générales'!Q10,IF(Num_dept=1,'Données générales'!O10,IF(Num_dept=2,'Données générales'!Q10))))</f>
        <v>0</v>
      </c>
      <c r="D32" s="199">
        <f>ROUND(IF(Basebrute="",0,B32*C32),2)</f>
        <v>0</v>
      </c>
      <c r="E32" s="200">
        <f>IF(Num_dept=2,'Données générales'!N10,IF(Num_dept=2,'Données générales'!R10,IF(Num_dept=1,'Données générales'!P10,IF(Num_dept=2,'Données générales'!R10))))</f>
        <v>0.13</v>
      </c>
      <c r="F32" s="203">
        <f>ROUND(IF(Basebrute="",0,B32*E32),2)</f>
        <v>0</v>
      </c>
    </row>
    <row r="33" spans="1:13">
      <c r="A33" s="10" t="str">
        <f>'Données générales'!$L$12</f>
        <v>FNAL (sur tot.)</v>
      </c>
      <c r="B33" s="199">
        <f t="shared" si="0"/>
        <v>0</v>
      </c>
      <c r="C33" s="200"/>
      <c r="D33" s="204"/>
      <c r="E33" s="200">
        <f>IF(Num_dept=2,'Données générales'!N12,IF(Num_dept=2,'Données générales'!R12,IF(Num_dept=1,'Données générales'!P12,IF(Num_dept=2,'Données générales'!R12))))</f>
        <v>5.0000000000000001E-3</v>
      </c>
      <c r="F33" s="203">
        <f>ROUND(IF(Basebrute="",0,B33*E33),2)</f>
        <v>0</v>
      </c>
    </row>
    <row r="34" spans="1:13">
      <c r="A34" s="10" t="str">
        <f>'Données générales'!$L$13</f>
        <v>Vieillesse (sur tot)</v>
      </c>
      <c r="B34" s="199">
        <f t="shared" si="0"/>
        <v>0</v>
      </c>
      <c r="C34" s="200">
        <f>IF(Num_dept=2,'Données générales'!M13,IF(Num_dept=2,'Données générales'!Q13,IF(Num_dept=1,'Données générales'!O13,IF(Num_dept=2,'Données générales'!Q13))))</f>
        <v>4.0000000000000001E-3</v>
      </c>
      <c r="D34" s="199">
        <f>ROUND(IF(Basebrute="",0,B34*C34),2)</f>
        <v>0</v>
      </c>
      <c r="E34" s="200">
        <f>IF(Num_dept=2,'Données générales'!N13,IF(Num_dept=2,'Données générales'!R13,IF(Num_dept=1,'Données générales'!P13,IF(Num_dept=2,'Données générales'!R13))))</f>
        <v>2.1100000000000001E-2</v>
      </c>
      <c r="F34" s="203">
        <f>ROUND(IF(Basebrute="",0,B34*E34),2)</f>
        <v>0</v>
      </c>
    </row>
    <row r="35" spans="1:13">
      <c r="A35" s="10" t="str">
        <f>'Données générales'!$L$14</f>
        <v>Vieillesse (sur plaf)</v>
      </c>
      <c r="B35" s="199">
        <f>IF(Basebrute="","",IF(Basebrute&lt;=PlafondSS,Basebrute,PlafondSS))</f>
        <v>0</v>
      </c>
      <c r="C35" s="200">
        <f>IF(Num_dept=2,'Données générales'!M14,IF(Num_dept=2,'Données générales'!Q14,IF(Num_dept=1,'Données générales'!O14,IF(Num_dept=2,'Données générales'!Q14))))</f>
        <v>6.9000000000000006E-2</v>
      </c>
      <c r="D35" s="199">
        <f>ROUND(IF(Basebrute="",0,B35*C35),2)</f>
        <v>0</v>
      </c>
      <c r="E35" s="200">
        <f>IF(Num_dept=2,'Données générales'!N14,IF(Num_dept=2,'Données générales'!R14,IF(Num_dept=1,'Données générales'!P14,IF(Num_dept=2,'Données générales'!R14))))</f>
        <v>8.5500000000000007E-2</v>
      </c>
      <c r="F35" s="203">
        <f>ROUND(IF(Basebrute="",0,B35*E35),2)</f>
        <v>0</v>
      </c>
    </row>
    <row r="36" spans="1:13">
      <c r="A36" s="10" t="str">
        <f>'Données générales'!$L$15</f>
        <v>Accident du travail</v>
      </c>
      <c r="B36" s="199">
        <f t="shared" si="0"/>
        <v>0</v>
      </c>
      <c r="C36" s="200"/>
      <c r="D36" s="171"/>
      <c r="E36" s="205">
        <f>'Simuler le coût d''un CDD'!E39</f>
        <v>0.01</v>
      </c>
      <c r="F36" s="203">
        <f>ROUND(IF(Basebrute="",0,IF(Duree&gt;=12,0,B36*E36)),2)</f>
        <v>0</v>
      </c>
    </row>
    <row r="37" spans="1:13">
      <c r="A37" s="10" t="str">
        <f>'Données générales'!$L$16</f>
        <v>Allocations familiales (sur tot)</v>
      </c>
      <c r="B37" s="199">
        <f t="shared" si="0"/>
        <v>0</v>
      </c>
      <c r="C37" s="200"/>
      <c r="D37" s="199"/>
      <c r="E37" s="206">
        <f>IF(Num_dept=2,'Données générales'!N16,IF(Num_dept=2,'Données générales'!R16,IF(Num_dept=1,'Données générales'!P16,IF(Num_dept=2,'Données générales'!R16))))</f>
        <v>5.2499999999999998E-2</v>
      </c>
      <c r="F37" s="203">
        <f>ROUND(IF(Basebrute="",0,B37*E37),2)</f>
        <v>0</v>
      </c>
      <c r="I37" s="433" t="s">
        <v>134</v>
      </c>
      <c r="J37" s="433"/>
      <c r="K37" s="109"/>
      <c r="L37" s="110"/>
      <c r="M37" s="207"/>
    </row>
    <row r="38" spans="1:13">
      <c r="A38" s="10" t="str">
        <f>'Données générales'!$L$19</f>
        <v>Versement mobilité</v>
      </c>
      <c r="B38" s="199">
        <f t="shared" si="0"/>
        <v>0</v>
      </c>
      <c r="C38" s="200"/>
      <c r="D38" s="202"/>
      <c r="E38" s="205">
        <f>'Simuler le coût d''un CDD'!E41</f>
        <v>3.2000000000000001E-2</v>
      </c>
      <c r="F38" s="203">
        <f>ROUND(IF(Basebrute="",0,B38*E38),2)</f>
        <v>0</v>
      </c>
      <c r="I38" s="111"/>
      <c r="J38" s="130" t="s">
        <v>135</v>
      </c>
      <c r="K38" s="133">
        <f>IF(graderef="",0,ROUND(Basebrute,0))</f>
        <v>0</v>
      </c>
      <c r="L38" s="114"/>
    </row>
    <row r="39" spans="1:13">
      <c r="A39" s="208" t="str">
        <f>IF(Basebrute="","",IF((Basebrute-D32-D34-D35-D40-D41-D42)&lt;Plafondsolidarite,"",'Données générales'!$L$9))</f>
        <v/>
      </c>
      <c r="B39" s="209">
        <f>IF((D18+D19+D20-D32-D34-D35-D40-D41-D42)&lt;Plafondsolidarite,(D18+D19+D20-D32-D34-D35-D40),(Basebrute-D32-D34-D35-D40-D41-D42))</f>
        <v>0</v>
      </c>
      <c r="C39" s="210">
        <f>IF(Num_dept=2,'Données générales'!M9,IF(Num_dept=2,'Données générales'!Q9,IF(Num_dept=1,'Données générales'!O9,IF(Num_dept=2,'Données générales'!Q9))))</f>
        <v>0</v>
      </c>
      <c r="D39" s="209">
        <f>IF(Basebrute="",0,IF((D18+D19-D32-D34-D35-D40)&lt;=Plafondsolidarite,0,B39*C39))</f>
        <v>0</v>
      </c>
      <c r="E39" s="200"/>
      <c r="F39" s="201"/>
      <c r="I39" s="111"/>
      <c r="J39" s="112" t="s">
        <v>136</v>
      </c>
      <c r="K39" s="113"/>
      <c r="L39" s="114"/>
    </row>
    <row r="40" spans="1:13">
      <c r="A40" s="10" t="str">
        <f>'Données générales'!$L$20</f>
        <v>IRCANTEC tranche A</v>
      </c>
      <c r="B40" s="199">
        <f>IF(Basebrute="","",IF((Basebrute-D21)&lt;PlafondSS,Basebrute-D21,PlafondSS))</f>
        <v>0</v>
      </c>
      <c r="C40" s="200">
        <f>IF(Num_dept=2,'Données générales'!M20,IF(Num_dept=2,'Données générales'!Q20,IF(Num_dept=1,'Données générales'!O20,IF(Num_dept=2,'Données générales'!Q20))))</f>
        <v>2.8400000000000002E-2</v>
      </c>
      <c r="D40" s="199">
        <f>ROUND(IF(Basebrute="",0,B40*C40),2)</f>
        <v>0</v>
      </c>
      <c r="E40" s="200">
        <f>IF(Num_dept=2,'Données générales'!N20,IF(Num_dept=2,'Données générales'!R20,IF(Num_dept=1,'Données générales'!P20,IF(Num_dept=2,'Données générales'!R20))))</f>
        <v>4.2700000000000002E-2</v>
      </c>
      <c r="F40" s="203">
        <f>ROUND(IF(Basebrute="",0,B40*E40),2)</f>
        <v>0</v>
      </c>
      <c r="I40" s="111"/>
      <c r="J40" s="122" t="str">
        <f>"Assiette &lt; =" &amp; TSmensuel1</f>
        <v>Assiette &lt; =762</v>
      </c>
      <c r="K40" s="122" t="str">
        <f>TSmensuel1 &amp; "&lt;Assiette&lt;=" &amp; TSmensuel2</f>
        <v>762&lt;Assiette&lt;=1522</v>
      </c>
      <c r="L40" s="122" t="str">
        <f>"Assiette &gt;" &amp; TSmensuel2</f>
        <v>Assiette &gt;1522</v>
      </c>
    </row>
    <row r="41" spans="1:13">
      <c r="A41" s="10" t="str">
        <f>IF(IF(Basebrute="","",IF(Basebrute&gt;PlafondSS,Basebrute-D21-PlafondSS,""))&lt;0,"", IF(Basebrute="","",IF(Basebrute&gt;PlafondSS,'Données générales'!L21,"")))</f>
        <v/>
      </c>
      <c r="B41" s="199" t="str">
        <f>IF(IF(Basebrute="","",IF(Basebrute&gt;PlafondSS,Basebrute-D21-PlafondSS,""))&lt;0,, IF(Basebrute&gt;PlafondSS,Basebrute-D21-PlafondSS,""))</f>
        <v/>
      </c>
      <c r="C41" s="200" t="str">
        <f>IF(IF(Basebrute="","",IF(Basebrute&gt;PlafondSS,Basebrute-D21-PlafondSS,""))&lt;0,0, IF(Basebrute&lt;=PlafondSS,"",IF(Num_dept="","",IF(Num_dept=2,'Données générales'!M21,'Données générales'!Q21))))</f>
        <v/>
      </c>
      <c r="D41" s="199">
        <f>IF(Basebrute="",0,IF(Basebrute&lt;=PlafondSS,0,ROUND(B41*C41,2)))</f>
        <v>0</v>
      </c>
      <c r="E41" s="200" t="str">
        <f>IF(IF(Basebrute="","",IF(Basebrute&gt;PlafondSS,Basebrute-D21-PlafondSS,""))&lt;0,0, IF(Basebrute&lt;=PlafondSS,"",IF(Num_dept="","",IF(Num_dept=2,'Données générales'!N21,'Données générales'!R21))))</f>
        <v/>
      </c>
      <c r="F41" s="203">
        <f>ROUND(IF(Basebrute="",0,IF(Basebrute&lt;=PlafondSS,0,B41*E41)),2)</f>
        <v>0</v>
      </c>
      <c r="I41" s="112" t="s">
        <v>137</v>
      </c>
      <c r="J41" s="115">
        <f>ROUND(IF(ASSIETTETAXESAL&lt;=TSmensuel1,(ASSIETTETAXESAL*TStaux1),0),2)</f>
        <v>0</v>
      </c>
      <c r="K41" s="115">
        <f>IF(AND(ASSIETTETAXESAL&gt;TSmensuel1,ASSIETTETAXESAL&lt;=TSmensuel2),TSmensuel1*TStaux1,0)</f>
        <v>0</v>
      </c>
      <c r="L41" s="116">
        <f>ROUND(IF(ASSIETTETAXESAL&gt;TSmensuel2,TSmensuel1*TStaux1,0),2)</f>
        <v>0</v>
      </c>
    </row>
    <row r="42" spans="1:13">
      <c r="A42" s="10" t="str">
        <f>IF($F$12="","",IF($F$12="France","",'Données générales'!L22))</f>
        <v/>
      </c>
      <c r="B42" s="199" t="str">
        <f>IF($F$12="France","",IF(Basebrute="","",Basebrute))</f>
        <v/>
      </c>
      <c r="C42" s="200" t="str">
        <f>IF($F$12="France","",IF(Num_dept="","",IF(Num_dept=2,'Données générales'!M22,'Données générales'!Q22)))</f>
        <v/>
      </c>
      <c r="D42" s="199">
        <f>IF($F$12="",0,IF($F$12="France",0,IF(Basebrute="",0,B42*C42)))</f>
        <v>0</v>
      </c>
      <c r="E42" s="200"/>
      <c r="F42" s="211"/>
      <c r="I42" s="112" t="s">
        <v>138</v>
      </c>
      <c r="J42" s="115"/>
      <c r="K42" s="115">
        <f>ROUND(IF(AND(ASSIETTETAXESAL&gt;TSmensuel1,ASSIETTETAXESAL&lt;=TSmensuel2),((ASSIETTETAXESAL-TSmensuel1)*TStaux2),0 ),2)</f>
        <v>0</v>
      </c>
      <c r="L42" s="107">
        <f>ROUND(IF(ASSIETTETAXESAL&gt;TSmensuel2,(TSmensuel2-TSmensuel1)*TStaux2,0),2)</f>
        <v>0</v>
      </c>
    </row>
    <row r="43" spans="1:13">
      <c r="A43" s="212" t="s">
        <v>60</v>
      </c>
      <c r="B43" s="213">
        <f>IF(Basebrute="","",Basebrute)</f>
        <v>0</v>
      </c>
      <c r="C43" s="214"/>
      <c r="D43" s="213"/>
      <c r="E43" s="214"/>
      <c r="F43" s="203">
        <f>IF(J44&gt;0,J44,IF(K44&gt;0,K44,IF(L44&gt;0,L44,0)))</f>
        <v>0</v>
      </c>
      <c r="I43" s="112" t="s">
        <v>139</v>
      </c>
      <c r="J43" s="115"/>
      <c r="K43" s="115"/>
      <c r="L43" s="116">
        <f>ROUND(IF(ASSIETTETAXESAL&gt;TSmensuel2,(ASSIETTETAXESAL-TSmensuel2)*TStaux3,0),2)</f>
        <v>0</v>
      </c>
    </row>
    <row r="44" spans="1:13">
      <c r="A44" s="215" t="s">
        <v>39</v>
      </c>
      <c r="C44" s="143"/>
      <c r="D44" s="216">
        <f>SUM(D28:D42)</f>
        <v>0</v>
      </c>
      <c r="E44" s="143"/>
      <c r="F44" s="216">
        <f>SUM(F28:F43)</f>
        <v>0</v>
      </c>
      <c r="I44" s="130" t="s">
        <v>143</v>
      </c>
      <c r="J44" s="131">
        <f>ROUND(J41*TSassujettissement,0)</f>
        <v>0</v>
      </c>
      <c r="K44" s="131">
        <f>ROUND((SUM(K41:K42)*TSassujettissement),0)</f>
        <v>0</v>
      </c>
      <c r="L44" s="132">
        <f>ROUND((SUM(L41:L43)*TSassujettissement),0)</f>
        <v>0</v>
      </c>
    </row>
    <row r="45" spans="1:13" ht="13.75" thickBot="1">
      <c r="J45" s="48"/>
    </row>
    <row r="46" spans="1:13" ht="13.75" thickBot="1">
      <c r="A46" s="217" t="s">
        <v>40</v>
      </c>
      <c r="B46" s="218">
        <f>IF(Basebrute="",0,Basebrute-TotalPS+CRDSnd+CSGnd)</f>
        <v>0</v>
      </c>
      <c r="F46" s="219"/>
      <c r="J46" s="48"/>
    </row>
    <row r="47" spans="1:13" ht="3" customHeight="1" thickBot="1">
      <c r="A47" s="220"/>
      <c r="B47" s="221"/>
      <c r="J47" s="222">
        <f>DATE(YEAR(B6),MONTH(B6),30)</f>
        <v>46264</v>
      </c>
    </row>
    <row r="48" spans="1:13" ht="13.75" thickBot="1">
      <c r="A48" s="217" t="s">
        <v>41</v>
      </c>
      <c r="B48" s="223">
        <f>IF(Basebrute="",0,Basebrute-TotalPS+B50)</f>
        <v>0</v>
      </c>
      <c r="C48" s="379" t="s">
        <v>93</v>
      </c>
      <c r="D48" s="224" t="str">
        <f>IF(C48="Acompte :",IF(B6&gt;=J47,"Pas d'acompte possible",((DATEDIF(B6,J47,"d")+1)*B48/30)*90/100),"")</f>
        <v/>
      </c>
      <c r="E48" s="225" t="s">
        <v>101</v>
      </c>
      <c r="F48" s="226" t="str">
        <f>IF(E48="Acompte :",IF(D6&gt;=L47,"Pas d'acompte possible",((DATEDIF(D6,L47,"d")+1)*D48/30)*90/100),"")</f>
        <v/>
      </c>
      <c r="J48" s="48"/>
    </row>
    <row r="49" spans="1:13" ht="3" customHeight="1">
      <c r="B49" s="221"/>
      <c r="F49" s="227" t="str">
        <f>IF(E49="Acompte :",IF(D7&gt;=L48,"Pas d'acompte possible",((DATEDIF(D7,L48,"d")+1)*D49/30)*90/100),"")</f>
        <v/>
      </c>
      <c r="J49" s="48"/>
    </row>
    <row r="50" spans="1:13" ht="12" customHeight="1">
      <c r="A50" s="1" t="s">
        <v>144</v>
      </c>
      <c r="B50" s="228">
        <f>IF(Quotite&gt;=0.5,IF(C50/2&gt;'Données générales'!H13,'Données générales'!H13,C50/2),IF(C50/4&gt;'Données générales'!H14,'Données générales'!H14,C50/4))</f>
        <v>0</v>
      </c>
      <c r="C50" s="380">
        <v>0</v>
      </c>
      <c r="D50" s="1"/>
      <c r="F50" s="229" t="str">
        <f>IF(E50="Acompte :",IF(D8&gt;=L49,"Pas d'acompte possible",((DATEDIF(D8,L49,"d")+1)*D50/30)*90/100),"")</f>
        <v/>
      </c>
      <c r="J50" s="48"/>
    </row>
    <row r="51" spans="1:13" ht="3" customHeight="1">
      <c r="B51" s="230"/>
      <c r="C51" s="231"/>
      <c r="D51" s="232"/>
      <c r="F51" s="232"/>
      <c r="J51" s="48"/>
    </row>
    <row r="52" spans="1:13" ht="12.75" customHeight="1">
      <c r="A52" s="1" t="s">
        <v>42</v>
      </c>
      <c r="B52" s="228">
        <f>IF(Basebrute="",0,Basebrute+B50+F44)</f>
        <v>0</v>
      </c>
      <c r="C52" s="233" t="s">
        <v>149</v>
      </c>
      <c r="D52" s="232"/>
      <c r="F52" s="232"/>
    </row>
    <row r="53" spans="1:13" ht="3" customHeight="1">
      <c r="B53" s="230"/>
      <c r="C53" s="231"/>
      <c r="D53" s="232"/>
      <c r="F53" s="232"/>
    </row>
    <row r="54" spans="1:13">
      <c r="A54" s="2" t="str">
        <f>IF(LEFT(F14,5)="Subv.","",IF(F14="ANR","PPE ANR ("&amp;'Données générales'!H11*100&amp;"%)","PPE ("&amp;'Données générales'!H12*100&amp;"%)"))</f>
        <v>PPE (0%)</v>
      </c>
      <c r="B54" s="228">
        <f>IF(LEFT(F14,5)="Subv.",0,IF(Basebrute="",0,IF(F14="ANR",(Basebrute)*'Données générales'!H11,(Basebrute)*'Données générales'!H12)))</f>
        <v>0</v>
      </c>
      <c r="C54" s="231"/>
    </row>
    <row r="55" spans="1:13" ht="3" customHeight="1" thickBot="1">
      <c r="B55" s="221"/>
    </row>
    <row r="56" spans="1:13" ht="13.75" thickBot="1">
      <c r="A56" s="217" t="s">
        <v>42</v>
      </c>
      <c r="B56" s="234">
        <f>IF(Basebrute="",0,Basebrute+PPE+B50+F44)</f>
        <v>0</v>
      </c>
      <c r="C56" s="1" t="str">
        <f>IF(LEFT(F14,5)="Subv.","","(avec PPE)")</f>
        <v>(avec PPE)</v>
      </c>
      <c r="E56" s="153"/>
    </row>
    <row r="57" spans="1:13" ht="3" customHeight="1" thickBot="1">
      <c r="A57" s="220"/>
      <c r="B57" s="221"/>
    </row>
    <row r="58" spans="1:13" ht="13.75" thickBot="1">
      <c r="A58" s="220" t="s">
        <v>42</v>
      </c>
      <c r="B58" s="218">
        <f>IF(B56="","",D69)</f>
        <v>0</v>
      </c>
      <c r="C58" s="1" t="s">
        <v>148</v>
      </c>
    </row>
    <row r="59" spans="1:13">
      <c r="J59" s="235" t="s">
        <v>100</v>
      </c>
      <c r="K59" s="362">
        <f>IF($D$6="","",EOMONTH(D6,0))</f>
        <v>46265</v>
      </c>
    </row>
    <row r="60" spans="1:13">
      <c r="A60" s="456" t="s">
        <v>49</v>
      </c>
      <c r="B60" s="457"/>
      <c r="C60" s="457"/>
      <c r="D60" s="457"/>
      <c r="E60" s="457"/>
      <c r="F60" s="457"/>
      <c r="G60" s="457"/>
      <c r="H60" s="236"/>
      <c r="I60" s="237"/>
      <c r="J60" s="235" t="s">
        <v>99</v>
      </c>
      <c r="K60" s="238" t="b">
        <f>IF($D$6="","",IF(K59=D6,TRUE,FALSE))</f>
        <v>1</v>
      </c>
      <c r="L60" s="239"/>
    </row>
    <row r="61" spans="1:13" s="239" customFormat="1" ht="19">
      <c r="A61" s="240" t="s">
        <v>46</v>
      </c>
      <c r="B61" s="241" t="s">
        <v>47</v>
      </c>
      <c r="C61" s="241" t="s">
        <v>50</v>
      </c>
      <c r="D61" s="241" t="s">
        <v>51</v>
      </c>
      <c r="E61" s="242" t="s">
        <v>52</v>
      </c>
      <c r="F61" s="458" t="s">
        <v>71</v>
      </c>
      <c r="G61" s="459"/>
      <c r="H61" s="242" t="str">
        <f>IF($F$14="ANR","PPE ANR","PPE")</f>
        <v>PPE</v>
      </c>
      <c r="I61" s="242" t="s">
        <v>90</v>
      </c>
      <c r="J61" s="242" t="s">
        <v>98</v>
      </c>
      <c r="K61" s="242" t="s">
        <v>142</v>
      </c>
      <c r="L61" s="243"/>
    </row>
    <row r="62" spans="1:13">
      <c r="A62" s="244">
        <f>IF($D$6="","",YEAR($B$6))</f>
        <v>2026</v>
      </c>
      <c r="B62" s="249">
        <f>IF($D$6="",0,IF(OR($K$60=FALSE,DAY(B6)&gt;1),DAYS360(J62,K62)+1,(DATEDIF(J62,K62,"m")+1)*30))</f>
        <v>30</v>
      </c>
      <c r="C62" s="245" t="str">
        <f>IF(A62="","",IF($B$56=0,"",H62+I62+B50))</f>
        <v/>
      </c>
      <c r="D62" s="246" t="str">
        <f t="shared" ref="D62:D68" si="1">IF($B$56=0,"",IF(A62="","",C62*12/360*B62))</f>
        <v/>
      </c>
      <c r="E62" s="245">
        <f t="shared" ref="E62:E68" si="2">IF($B$56="","",IF(A62="","",(I62+B$50)*12/360*B62))</f>
        <v>0</v>
      </c>
      <c r="F62" s="143" t="s">
        <v>157</v>
      </c>
      <c r="G62" s="381">
        <v>0</v>
      </c>
      <c r="H62" s="247">
        <f>IF($F$14="ANR",D23*'Données générales'!$H$11,IF($F$14="Subv. d'Etat",0,D23*'Données générales'!$H$12))</f>
        <v>0</v>
      </c>
      <c r="I62" s="245">
        <f>IF(F62="Oui",Mensuel_hors_PPE*(1+G62),Mensuel_hors_PPE-B50)</f>
        <v>0</v>
      </c>
      <c r="J62" s="364">
        <f>IF(A62="","",$B$6)</f>
        <v>46235</v>
      </c>
      <c r="K62" s="364">
        <f>IF(A62="","",IF(A63="",IF($K$60=TRUE,IF(MONTH($K$59)=2,$K$59,DATE(YEAR(J62),MONTH($D$6),30)),$D$6),DATE(YEAR(J62),12,30)))</f>
        <v>46264</v>
      </c>
      <c r="L62" s="243"/>
      <c r="M62" s="243"/>
    </row>
    <row r="63" spans="1:13">
      <c r="A63" s="248" t="str">
        <f>IF($D$6="","",IF(YEAR($D$6)=YEAR($B$6),"",YEAR($B$6)+1))</f>
        <v/>
      </c>
      <c r="B63" s="249" t="str">
        <f t="shared" ref="B63:B68" si="3">IF(A63="","",IF(YEAR($D$6)&gt;A63,360,IF($K$60=FALSE,DAYS360(J63,K63)+1,(DATEDIF(J63,K63,"m")+1)*30)))</f>
        <v/>
      </c>
      <c r="C63" s="246" t="str">
        <f>IF(A63="","",IF($B$56=0,0,H63+I63+B50))</f>
        <v/>
      </c>
      <c r="D63" s="246" t="str">
        <f t="shared" si="1"/>
        <v/>
      </c>
      <c r="E63" s="246" t="str">
        <f t="shared" si="2"/>
        <v/>
      </c>
      <c r="F63" s="143" t="s">
        <v>157</v>
      </c>
      <c r="G63" s="382">
        <v>0</v>
      </c>
      <c r="H63" s="250">
        <f>IF($F$14="ANR",D23*'Données générales'!$H$11,IF($F$14="Subv. d'Etat",0,D23*'Données générales'!$H$12))</f>
        <v>0</v>
      </c>
      <c r="I63" s="246">
        <f t="shared" ref="I63:I68" si="4">IF(F63="Oui",I62*(1+G63),I62)</f>
        <v>0</v>
      </c>
      <c r="J63" s="368" t="str">
        <f t="shared" ref="J63:J68" si="5">IF(A63="","",IF($D$6&gt;K62,DATE(A63,1,1),""))</f>
        <v/>
      </c>
      <c r="K63" s="368" t="str">
        <f>IF(A63="","",IF(A64="",IF($K$60=TRUE,IF(MONTH($K$59)=2,$K$59,DATE(YEAR(J63),MONTH($D$6),30)),$D$6),DATE(YEAR(J63),12,30)))</f>
        <v/>
      </c>
      <c r="L63" s="243"/>
    </row>
    <row r="64" spans="1:13">
      <c r="A64" s="248" t="str">
        <f>IF($D$6="","",IF(YEAR($D$6)=YEAR($B$6),"",IF(YEAR($D$6)=(YEAR($B$6)+1),"",YEAR($B$6)+2)))</f>
        <v/>
      </c>
      <c r="B64" s="249" t="str">
        <f t="shared" si="3"/>
        <v/>
      </c>
      <c r="C64" s="246" t="str">
        <f>IF(A64="","",IF($B$56=0,"",H64+I64+B50))</f>
        <v/>
      </c>
      <c r="D64" s="246" t="str">
        <f t="shared" si="1"/>
        <v/>
      </c>
      <c r="E64" s="246" t="str">
        <f t="shared" si="2"/>
        <v/>
      </c>
      <c r="F64" s="143" t="s">
        <v>157</v>
      </c>
      <c r="G64" s="382">
        <v>0</v>
      </c>
      <c r="H64" s="250">
        <f>IF($F$14="ANR",D23*'Données générales'!$H$11,IF($F$14="Subv. d'Etat",0,D23*'Données générales'!$H$12))</f>
        <v>0</v>
      </c>
      <c r="I64" s="246">
        <f t="shared" si="4"/>
        <v>0</v>
      </c>
      <c r="J64" s="368" t="str">
        <f t="shared" si="5"/>
        <v/>
      </c>
      <c r="K64" s="368" t="str">
        <f>IF(A64="","",IF(A65="",IF($K$60=TRUE,IF(MONTH($K$59)=2,$K$59,DATE(YEAR(J64),MONTH($D$6),30)),$D$6),DATE(YEAR(J64),12,30)))</f>
        <v/>
      </c>
      <c r="L64" s="243"/>
    </row>
    <row r="65" spans="1:12">
      <c r="A65" s="248" t="str">
        <f>IF($D$6="","",IF(YEAR($D$6)=YEAR($B$6),"",IF(YEAR($D$6)&lt;=(YEAR($B$6)+2),"",YEAR($B$6)+3)))</f>
        <v/>
      </c>
      <c r="B65" s="249" t="str">
        <f t="shared" si="3"/>
        <v/>
      </c>
      <c r="C65" s="246" t="str">
        <f>IF(A65="","",IF($B$56=0,"",H65+I65+B50))</f>
        <v/>
      </c>
      <c r="D65" s="246" t="str">
        <f t="shared" si="1"/>
        <v/>
      </c>
      <c r="E65" s="246" t="str">
        <f t="shared" si="2"/>
        <v/>
      </c>
      <c r="F65" s="143" t="s">
        <v>157</v>
      </c>
      <c r="G65" s="382">
        <v>0</v>
      </c>
      <c r="H65" s="250">
        <f>IF($F$14="ANR",D23*'Données générales'!$H$11,IF($F$14="Subv. d'Etat",0,D23*'Données générales'!$H$12))</f>
        <v>0</v>
      </c>
      <c r="I65" s="246">
        <f t="shared" si="4"/>
        <v>0</v>
      </c>
      <c r="J65" s="368" t="str">
        <f t="shared" si="5"/>
        <v/>
      </c>
      <c r="K65" s="368" t="str">
        <f>IF(A65="","",IF(A66="",IF($K$60=TRUE,IF(MONTH($K$59)=2,$K$59,DATE(YEAR(J65),MONTH($D$6),30)),$D$6),DATE(YEAR(J65),12,30)))</f>
        <v/>
      </c>
      <c r="L65" s="243"/>
    </row>
    <row r="66" spans="1:12">
      <c r="A66" s="248" t="str">
        <f>IF($D$6="","",IF(YEAR($D$6)=YEAR($B$6),"",IF(YEAR($D$6)&lt;=(YEAR($B$6)+3),"",YEAR($B$6)+4)))</f>
        <v/>
      </c>
      <c r="B66" s="249" t="str">
        <f t="shared" si="3"/>
        <v/>
      </c>
      <c r="C66" s="246" t="str">
        <f>IF(A66="","",IF($B$56=0,"",H66+I66+B50))</f>
        <v/>
      </c>
      <c r="D66" s="246" t="str">
        <f t="shared" si="1"/>
        <v/>
      </c>
      <c r="E66" s="246" t="str">
        <f t="shared" si="2"/>
        <v/>
      </c>
      <c r="F66" s="143" t="s">
        <v>157</v>
      </c>
      <c r="G66" s="382">
        <v>0</v>
      </c>
      <c r="H66" s="250">
        <f>IF($F$14="ANR",D23*'Données générales'!$H$11,IF($F$14="Subv. d'Etat",0,D23*'Données générales'!$H$12))</f>
        <v>0</v>
      </c>
      <c r="I66" s="246">
        <f t="shared" si="4"/>
        <v>0</v>
      </c>
      <c r="J66" s="368" t="str">
        <f t="shared" si="5"/>
        <v/>
      </c>
      <c r="K66" s="368" t="str">
        <f>IF(A66="","",IF(A68="",IF($K$60=TRUE,IF(MONTH($K$59)=2,$K$59,DATE(YEAR(J66),MONTH($D$6),30)),$D$6),DATE(YEAR(J66),12,30)))</f>
        <v/>
      </c>
      <c r="L66" s="243"/>
    </row>
    <row r="67" spans="1:12">
      <c r="A67" s="248" t="str">
        <f>IF($D$6="","",IF(YEAR($D$6)=YEAR($B$6),"",IF(YEAR($D$6)&lt;=(YEAR($B$6)+3),"",YEAR($B$6)+4)))</f>
        <v/>
      </c>
      <c r="B67" s="249" t="str">
        <f t="shared" si="3"/>
        <v/>
      </c>
      <c r="C67" s="246" t="str">
        <f>IF(A67="","",IF($B$56=0,"",H67+I67+B51))</f>
        <v/>
      </c>
      <c r="D67" s="246" t="str">
        <f t="shared" si="1"/>
        <v/>
      </c>
      <c r="E67" s="246" t="str">
        <f t="shared" si="2"/>
        <v/>
      </c>
      <c r="F67" s="143" t="s">
        <v>157</v>
      </c>
      <c r="G67" s="382">
        <v>1</v>
      </c>
      <c r="H67" s="250">
        <f>IF($F$14="ANR",D24*'Données générales'!$H$11,IF($F$14="Subv. d'Etat",0,D24*'Données générales'!$H$12))</f>
        <v>0</v>
      </c>
      <c r="I67" s="246">
        <f t="shared" si="4"/>
        <v>0</v>
      </c>
      <c r="J67" s="368" t="str">
        <f t="shared" si="5"/>
        <v/>
      </c>
      <c r="K67" s="368" t="str">
        <f>IF(A67="","",IF(A69="",IF($K$60=TRUE,IF(MONTH($K$59)=2,$K$59,DATE(YEAR(J67),MONTH($D$6),30)),$D$6),DATE(YEAR(J67),12,30)))</f>
        <v/>
      </c>
      <c r="L67" s="243"/>
    </row>
    <row r="68" spans="1:12">
      <c r="A68" s="248" t="str">
        <f>IF($D$6="","",IF(YEAR($D$6)=YEAR($B$6),"",IF(YEAR($D$6)&lt;=(YEAR($B$6)+3),"",YEAR($B$6)+4)))</f>
        <v/>
      </c>
      <c r="B68" s="249" t="str">
        <f t="shared" si="3"/>
        <v/>
      </c>
      <c r="C68" s="246" t="str">
        <f>IF(A68="","",IF($B$56=0,"",H68+I68+B52))</f>
        <v/>
      </c>
      <c r="D68" s="246" t="str">
        <f t="shared" si="1"/>
        <v/>
      </c>
      <c r="E68" s="411" t="str">
        <f t="shared" si="2"/>
        <v/>
      </c>
      <c r="F68" s="412" t="s">
        <v>157</v>
      </c>
      <c r="G68" s="413">
        <v>2</v>
      </c>
      <c r="H68" s="414">
        <f>IF($F$14="ANR",D25*'Données générales'!$H$11,IF($F$14="Subv. d'Etat",0,D25*'Données générales'!$H$12))</f>
        <v>0</v>
      </c>
      <c r="I68" s="411">
        <f t="shared" si="4"/>
        <v>0</v>
      </c>
      <c r="J68" s="415" t="str">
        <f t="shared" si="5"/>
        <v/>
      </c>
      <c r="K68" s="415" t="str">
        <f>IF(A68="","",IF(A70="",IF($K$60=TRUE,IF(MONTH($K$59)=2,$K$59,DATE(YEAR(J68),MONTH($D$6),30)),$D$6),DATE(YEAR(J68),12,30)))</f>
        <v/>
      </c>
    </row>
    <row r="69" spans="1:12">
      <c r="A69" s="460" t="s">
        <v>48</v>
      </c>
      <c r="B69" s="460"/>
      <c r="C69" s="460"/>
      <c r="D69" s="251">
        <f>IF(B56="","",SUM(D62:D68))</f>
        <v>0</v>
      </c>
    </row>
    <row r="71" spans="1:12">
      <c r="F71" s="1"/>
    </row>
  </sheetData>
  <protectedRanges>
    <protectedRange sqref="E38" name="Plage7"/>
    <protectedRange sqref="B12" name="Plage4"/>
    <protectedRange sqref="E36" name="Plage1"/>
    <protectedRange sqref="C19" name="Plage3"/>
  </protectedRanges>
  <mergeCells count="18">
    <mergeCell ref="M25:O25"/>
    <mergeCell ref="B26:B27"/>
    <mergeCell ref="C26:F26"/>
    <mergeCell ref="M27:O27"/>
    <mergeCell ref="F3:O3"/>
    <mergeCell ref="B4:D4"/>
    <mergeCell ref="C10:E10"/>
    <mergeCell ref="G10:I10"/>
    <mergeCell ref="A2:F2"/>
    <mergeCell ref="B16:B17"/>
    <mergeCell ref="C16:D16"/>
    <mergeCell ref="M22:O22"/>
    <mergeCell ref="M23:O23"/>
    <mergeCell ref="M28:O28"/>
    <mergeCell ref="I37:J37"/>
    <mergeCell ref="A60:G60"/>
    <mergeCell ref="F61:G61"/>
    <mergeCell ref="A69:C69"/>
  </mergeCells>
  <conditionalFormatting sqref="A19:D20">
    <cfRule type="expression" dxfId="14" priority="10" stopIfTrue="1">
      <formula>IF(OR(LEFT(graderef,2)="38",LEFT(graderef,2)="39"),TRUE,FALSE)</formula>
    </cfRule>
  </conditionalFormatting>
  <conditionalFormatting sqref="C21">
    <cfRule type="expression" dxfId="13" priority="15" stopIfTrue="1">
      <formula>IF($B$21="+ de 3 enfants",TRUE,FALSE)</formula>
    </cfRule>
  </conditionalFormatting>
  <conditionalFormatting sqref="C10:F10">
    <cfRule type="expression" dxfId="12" priority="8" stopIfTrue="1">
      <formula>IF(AND($B$6&gt;=42614,(LEFT(B8,2)="39")),TRUE,FALSE)</formula>
    </cfRule>
    <cfRule type="expression" dxfId="11" priority="9" stopIfTrue="1">
      <formula>IF(AND($B$6&gt;=42614,(LEFT(B8,2)="06")),TRUE,FALSE)</formula>
    </cfRule>
  </conditionalFormatting>
  <conditionalFormatting sqref="D19:D20">
    <cfRule type="expression" dxfId="10" priority="12" stopIfTrue="1">
      <formula>IF($E$20="Demander autorisation au DG",TRUE,FALSE)</formula>
    </cfRule>
  </conditionalFormatting>
  <conditionalFormatting sqref="D21">
    <cfRule type="cellIs" dxfId="9" priority="16" stopIfTrue="1" operator="lessThan">
      <formula>0</formula>
    </cfRule>
  </conditionalFormatting>
  <conditionalFormatting sqref="D42">
    <cfRule type="expression" dxfId="8" priority="4">
      <formula>$A$42=""</formula>
    </cfRule>
  </conditionalFormatting>
  <conditionalFormatting sqref="D48:F48 F49:F50">
    <cfRule type="expression" dxfId="7" priority="14" stopIfTrue="1">
      <formula>IF($C$48="Sans acompte",TRUE,FALSE)</formula>
    </cfRule>
  </conditionalFormatting>
  <conditionalFormatting sqref="F10">
    <cfRule type="expression" dxfId="6" priority="6" stopIfTrue="1">
      <formula>IF(AND($B$6&gt;=42614,(LEFT(B8,2)="39")),TRUE,FALSE)</formula>
    </cfRule>
    <cfRule type="expression" dxfId="5" priority="7" stopIfTrue="1">
      <formula>IF(AND($B$6&gt;=42614,(LEFT(B8,2)="06")),TRUE,FALSE)</formula>
    </cfRule>
  </conditionalFormatting>
  <conditionalFormatting sqref="G62:G68">
    <cfRule type="expression" dxfId="4" priority="1" stopIfTrue="1">
      <formula>IF($F62="Oui",TRUE,FALSE)</formula>
    </cfRule>
  </conditionalFormatting>
  <dataValidations count="8">
    <dataValidation type="date" operator="greaterThanOrEqual" allowBlank="1" showInputMessage="1" showErrorMessage="1" errorTitle="Pour info" error="Pour un recrutement effectué avant le 01/04/2015 merci d'utiliser la version 8 4 13" sqref="B6" xr:uid="{00000000-0002-0000-0100-000000000000}">
      <formula1>$I6</formula1>
    </dataValidation>
    <dataValidation type="list" allowBlank="1" showInputMessage="1" showErrorMessage="1" sqref="C19" xr:uid="{00000000-0002-0000-0100-000001000000}">
      <formula1>Indemresidence</formula1>
    </dataValidation>
    <dataValidation type="decimal" allowBlank="1" showInputMessage="1" showErrorMessage="1" errorTitle="Erreur" error="Dépassement du montant de modulation autorisé." sqref="F10" xr:uid="{00000000-0002-0000-0100-000002000000}">
      <formula1>0</formula1>
      <formula2>H8-F8</formula2>
    </dataValidation>
    <dataValidation type="custom" allowBlank="1" showInputMessage="1" showErrorMessage="1" errorTitle="Erreur de saisie" error="La quotité ne peut être supérieure à 100%" sqref="B14" xr:uid="{00000000-0002-0000-0100-000003000000}">
      <formula1>B14&lt;=100%</formula1>
    </dataValidation>
    <dataValidation type="list" allowBlank="1" showInputMessage="1" showErrorMessage="1" sqref="F14" xr:uid="{00000000-0002-0000-0100-000004000000}">
      <formula1>Abondement</formula1>
    </dataValidation>
    <dataValidation type="list" allowBlank="1" showInputMessage="1" showErrorMessage="1" sqref="F12" xr:uid="{00000000-0002-0000-0100-000005000000}">
      <formula1>Domicilefiscal</formula1>
    </dataValidation>
    <dataValidation type="list" allowBlank="1" showInputMessage="1" showErrorMessage="1" sqref="B12" xr:uid="{00000000-0002-0000-0100-000006000000}">
      <formula1>Res.administrative</formula1>
    </dataValidation>
    <dataValidation type="list" allowBlank="1" showInputMessage="1" showErrorMessage="1" sqref="C48" xr:uid="{00000000-0002-0000-0100-000007000000}">
      <formula1>Acompte</formula1>
    </dataValidation>
  </dataValidations>
  <printOptions horizontalCentered="1" verticalCentered="1"/>
  <pageMargins left="0.15748031496062992" right="0.15748031496062992" top="0.51181102362204722" bottom="0.98425196850393704" header="0.51181102362204722" footer="0.51181102362204722"/>
  <pageSetup paperSize="9" scale="97" orientation="portrait" r:id="rId1"/>
  <headerFooter alignWithMargins="0">
    <oddFooter>&amp;L&amp;"Arial Narrow,Normal"&amp;8[Fichier]&amp;R&amp;"Arial Narrow,Normal"&amp;8Simulation éditée le &amp;D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3">
    <tabColor indexed="49"/>
  </sheetPr>
  <dimension ref="A1:IV53"/>
  <sheetViews>
    <sheetView showGridLines="0" zoomScale="110" zoomScaleNormal="110" workbookViewId="0">
      <selection activeCell="I41" sqref="I41"/>
    </sheetView>
  </sheetViews>
  <sheetFormatPr baseColWidth="10" defaultColWidth="11.40625" defaultRowHeight="13"/>
  <cols>
    <col min="1" max="1" width="26.26953125" style="1" customWidth="1"/>
    <col min="2" max="2" width="12.54296875" style="1" bestFit="1" customWidth="1"/>
    <col min="3" max="3" width="12" style="1" customWidth="1"/>
    <col min="4" max="4" width="12.54296875" style="143" customWidth="1"/>
    <col min="5" max="5" width="11.54296875" style="1" bestFit="1" customWidth="1"/>
    <col min="6" max="6" width="12.26953125" style="143" bestFit="1" customWidth="1"/>
    <col min="7" max="7" width="11.7265625" style="1" bestFit="1" customWidth="1"/>
    <col min="8" max="8" width="4.26953125" style="1" customWidth="1"/>
    <col min="9" max="9" width="8" style="1" bestFit="1" customWidth="1"/>
    <col min="10" max="10" width="18" style="1" bestFit="1" customWidth="1"/>
    <col min="11" max="11" width="13.26953125" style="1" bestFit="1" customWidth="1"/>
    <col min="12" max="12" width="14.40625" style="1" bestFit="1" customWidth="1"/>
    <col min="13" max="13" width="9.40625" style="1" bestFit="1" customWidth="1"/>
    <col min="14" max="16384" width="11.40625" style="1"/>
  </cols>
  <sheetData>
    <row r="1" spans="1:13" ht="14.45" customHeight="1">
      <c r="J1" s="195"/>
      <c r="K1" s="252"/>
      <c r="L1" s="173"/>
      <c r="M1" s="173"/>
    </row>
    <row r="2" spans="1:13" ht="14.45" customHeight="1">
      <c r="A2" s="469" t="str">
        <f>"SIMULATION DU COUT D'UN VACATAIRE (à partir du " &amp; TEXT(Date_ref,"jj/mm/AAAA") &amp; ")"</f>
        <v>SIMULATION DU COUT D'UN VACATAIRE (à partir du 01/01/2026)</v>
      </c>
      <c r="B2" s="469"/>
      <c r="C2" s="469"/>
      <c r="D2" s="469"/>
      <c r="E2" s="469"/>
      <c r="F2" s="469"/>
      <c r="G2" s="408"/>
      <c r="J2" s="195"/>
      <c r="K2" s="253"/>
      <c r="L2" s="173"/>
      <c r="M2" s="173"/>
    </row>
    <row r="3" spans="1:13" ht="14.45" customHeight="1">
      <c r="J3" s="435"/>
      <c r="K3" s="435"/>
      <c r="L3" s="435"/>
      <c r="M3" s="173"/>
    </row>
    <row r="4" spans="1:13" ht="14.45" customHeight="1">
      <c r="A4" s="145" t="s">
        <v>11</v>
      </c>
      <c r="B4" s="437"/>
      <c r="C4" s="438"/>
      <c r="D4" s="439"/>
      <c r="E4" s="145" t="s">
        <v>89</v>
      </c>
      <c r="F4" s="254"/>
      <c r="G4" s="146" t="s">
        <v>45</v>
      </c>
      <c r="I4" s="147"/>
      <c r="J4" s="435"/>
      <c r="K4" s="435"/>
      <c r="L4" s="435"/>
      <c r="M4" s="173"/>
    </row>
    <row r="5" spans="1:13" ht="3" customHeight="1">
      <c r="A5" s="149"/>
      <c r="B5" s="150"/>
      <c r="C5" s="150"/>
      <c r="D5" s="150"/>
      <c r="E5" s="150"/>
      <c r="F5" s="151"/>
      <c r="I5" s="147"/>
      <c r="J5" s="255"/>
      <c r="K5" s="255"/>
      <c r="L5" s="173"/>
      <c r="M5" s="173"/>
    </row>
    <row r="6" spans="1:13">
      <c r="A6" s="145" t="s">
        <v>54</v>
      </c>
      <c r="B6" s="137"/>
      <c r="C6" s="145" t="s">
        <v>43</v>
      </c>
      <c r="D6" s="137"/>
      <c r="E6" s="145" t="s">
        <v>116</v>
      </c>
      <c r="F6" s="152" t="str">
        <f>IF(D6="","",IF(OR(DAY(B6)&gt;1,EOMONTH(D6,0)&lt;&gt;D6),DAYS360(B6,D6)/30,DATEDIF(B6,D6,"m")+1))</f>
        <v/>
      </c>
      <c r="G6" s="256"/>
      <c r="H6" s="257"/>
      <c r="I6" s="257"/>
      <c r="J6" s="257"/>
      <c r="K6" s="257"/>
      <c r="L6" s="195"/>
      <c r="M6" s="173"/>
    </row>
    <row r="7" spans="1:13" ht="3" customHeight="1">
      <c r="A7" s="145"/>
      <c r="C7" s="156"/>
      <c r="J7" s="173"/>
      <c r="K7" s="173"/>
      <c r="L7" s="173"/>
      <c r="M7" s="173"/>
    </row>
    <row r="8" spans="1:13">
      <c r="A8" s="145" t="s">
        <v>79</v>
      </c>
      <c r="B8" s="437" t="s">
        <v>87</v>
      </c>
      <c r="C8" s="439"/>
      <c r="D8" s="258"/>
      <c r="E8" s="145" t="s">
        <v>78</v>
      </c>
      <c r="F8" s="401">
        <f>IF(niveau_recrutement="","",VLOOKUP(B8,Vacations,5))</f>
        <v>14.6</v>
      </c>
      <c r="J8" s="194"/>
      <c r="K8" s="195"/>
      <c r="L8" s="195"/>
      <c r="M8" s="173"/>
    </row>
    <row r="9" spans="1:13" ht="3" customHeight="1">
      <c r="C9" s="159"/>
      <c r="J9" s="173"/>
      <c r="K9" s="173"/>
      <c r="L9" s="173"/>
      <c r="M9" s="173"/>
    </row>
    <row r="10" spans="1:13">
      <c r="A10" s="145" t="s">
        <v>37</v>
      </c>
      <c r="B10" s="138">
        <v>1</v>
      </c>
      <c r="C10" s="98" t="str">
        <f>IF(B10="","",VLOOKUP(B10,Deptab,2))</f>
        <v>Hors Alsace-Moselle</v>
      </c>
      <c r="D10" s="98"/>
      <c r="E10" s="161" t="s">
        <v>36</v>
      </c>
      <c r="F10" s="139" t="s">
        <v>34</v>
      </c>
      <c r="J10" s="435"/>
      <c r="K10" s="435"/>
      <c r="L10" s="435"/>
      <c r="M10" s="173"/>
    </row>
    <row r="11" spans="1:13" ht="3" customHeight="1">
      <c r="A11" s="145"/>
      <c r="B11" s="162"/>
      <c r="C11" s="98"/>
      <c r="D11" s="98"/>
      <c r="E11" s="98"/>
      <c r="J11" s="173"/>
      <c r="K11" s="173"/>
      <c r="L11" s="173"/>
      <c r="M11" s="173"/>
    </row>
    <row r="12" spans="1:13">
      <c r="A12" s="145" t="s">
        <v>80</v>
      </c>
      <c r="B12" s="259">
        <v>120</v>
      </c>
      <c r="C12" s="260" t="str">
        <f>IF(Heures&gt;120,"Maximum mensuel dépassé (120h)","")</f>
        <v/>
      </c>
      <c r="D12" s="98"/>
      <c r="E12" s="145" t="s">
        <v>97</v>
      </c>
      <c r="F12" s="141" t="s">
        <v>58</v>
      </c>
      <c r="J12" s="435"/>
      <c r="K12" s="435"/>
      <c r="L12" s="435"/>
      <c r="M12" s="173"/>
    </row>
    <row r="13" spans="1:13" ht="3" customHeight="1">
      <c r="A13" s="145"/>
      <c r="B13" s="261"/>
      <c r="C13" s="98"/>
      <c r="D13" s="98"/>
      <c r="E13" s="145"/>
      <c r="F13" s="262"/>
      <c r="J13" s="173"/>
      <c r="K13" s="173"/>
      <c r="L13" s="173"/>
      <c r="M13" s="173"/>
    </row>
    <row r="14" spans="1:13">
      <c r="A14" s="163"/>
      <c r="B14" s="163"/>
      <c r="C14" s="98"/>
      <c r="D14" s="98"/>
      <c r="E14" s="145" t="s">
        <v>91</v>
      </c>
      <c r="F14" s="263" t="s">
        <v>69</v>
      </c>
      <c r="J14" s="173"/>
      <c r="K14" s="173"/>
      <c r="L14" s="173"/>
      <c r="M14" s="173"/>
    </row>
    <row r="15" spans="1:13">
      <c r="C15" s="159"/>
    </row>
    <row r="16" spans="1:13">
      <c r="B16" s="470" t="s">
        <v>9</v>
      </c>
      <c r="C16" s="470" t="s">
        <v>15</v>
      </c>
      <c r="D16" s="470"/>
    </row>
    <row r="17" spans="1:256">
      <c r="A17" s="153"/>
      <c r="B17" s="470"/>
      <c r="C17" s="264" t="s">
        <v>1</v>
      </c>
      <c r="D17" s="264" t="s">
        <v>16</v>
      </c>
      <c r="F17" s="1"/>
    </row>
    <row r="18" spans="1:256">
      <c r="A18" s="265" t="s">
        <v>130</v>
      </c>
      <c r="B18" s="266"/>
      <c r="C18" s="267"/>
      <c r="D18" s="268">
        <f>IF(niveau_recrutement="",0,IF(Heures="",0,IF(Heures&gt;120,0,(Heures*F8))))</f>
        <v>1752</v>
      </c>
      <c r="E18" s="171"/>
      <c r="F18" s="225"/>
    </row>
    <row r="19" spans="1:256">
      <c r="A19" s="269" t="s">
        <v>13</v>
      </c>
      <c r="C19" s="186"/>
      <c r="D19" s="270">
        <f>IF(B10="","",IF(F8="","",D18))</f>
        <v>1752</v>
      </c>
      <c r="E19" s="188"/>
      <c r="F19" s="189"/>
      <c r="G19" s="190"/>
      <c r="IV19" s="59">
        <f>SUM(D19:IU19)</f>
        <v>1752</v>
      </c>
    </row>
    <row r="20" spans="1:256">
      <c r="B20" s="191"/>
      <c r="C20" s="186"/>
      <c r="D20" s="182"/>
      <c r="E20" s="192"/>
      <c r="F20" s="182"/>
    </row>
    <row r="21" spans="1:256">
      <c r="B21" s="470" t="s">
        <v>9</v>
      </c>
      <c r="C21" s="471" t="s">
        <v>10</v>
      </c>
      <c r="D21" s="471"/>
      <c r="E21" s="471"/>
      <c r="F21" s="471"/>
      <c r="H21" s="193"/>
      <c r="J21" s="271"/>
      <c r="K21" s="271"/>
      <c r="L21" s="271"/>
    </row>
    <row r="22" spans="1:256">
      <c r="B22" s="471"/>
      <c r="C22" s="264" t="s">
        <v>62</v>
      </c>
      <c r="D22" s="267" t="s">
        <v>96</v>
      </c>
      <c r="E22" s="264" t="s">
        <v>62</v>
      </c>
      <c r="F22" s="267" t="s">
        <v>95</v>
      </c>
      <c r="J22" s="271"/>
      <c r="K22" s="271"/>
      <c r="L22" s="271"/>
    </row>
    <row r="23" spans="1:256">
      <c r="A23" s="272" t="str">
        <f>'Données générales'!L5</f>
        <v>CSG déductible</v>
      </c>
      <c r="B23" s="273">
        <f>IF($F$10="Hors France","",IF(D19="","",D19*98.25/100))</f>
        <v>1721.34</v>
      </c>
      <c r="C23" s="200">
        <f>IF($F$10="Hors France","",IF(B10="","",IF(B10=2,'Données générales'!M5,'Données générales'!O5)))</f>
        <v>6.8000000000000005E-2</v>
      </c>
      <c r="D23" s="274">
        <f>IF($F$10="",0,IF($F$10="Hors France",0,IF(D19="",0,B23*C23)))</f>
        <v>117.05112</v>
      </c>
      <c r="E23" s="275"/>
      <c r="F23" s="276"/>
      <c r="J23" s="4"/>
      <c r="K23" s="4"/>
      <c r="L23" s="4"/>
    </row>
    <row r="24" spans="1:256">
      <c r="A24" s="277" t="str">
        <f>'Données générales'!L6</f>
        <v>CRDS non déductible</v>
      </c>
      <c r="B24" s="278">
        <f>IF($F$10="Hors France","",IF(D19="","",D19*98.25/100))</f>
        <v>1721.34</v>
      </c>
      <c r="C24" s="279">
        <f>IF($F$10="Hors France","",IF(B10="","",IF(B10,'Données générales'!M6,'Données générales'!O6)))</f>
        <v>5.0000000000000001E-3</v>
      </c>
      <c r="D24" s="274">
        <f>IF($F$10="",0,IF($F$10="Hors France",0,IF(D19="",0,B24*C24)))</f>
        <v>8.6067</v>
      </c>
      <c r="E24" s="275"/>
      <c r="F24" s="276"/>
      <c r="J24" s="280"/>
      <c r="K24" s="280"/>
      <c r="L24" s="280"/>
    </row>
    <row r="25" spans="1:256">
      <c r="A25" s="277" t="str">
        <f>'Données générales'!L7</f>
        <v>CSG non déductible</v>
      </c>
      <c r="B25" s="278">
        <f>IF($F$10="Hors France","",IF(D19="","",D19*98.25/100))</f>
        <v>1721.34</v>
      </c>
      <c r="C25" s="200">
        <f>IF($F$10="Hors France","",IF(B10="","",IF(B10=2,'Données générales'!M7,'Données générales'!O7)))</f>
        <v>2.4E-2</v>
      </c>
      <c r="D25" s="274">
        <f>IF($F$10="",0,IF($F$10="Hors France",0,IF(D19="",0,B25*C25)))</f>
        <v>41.312159999999999</v>
      </c>
      <c r="E25" s="275"/>
      <c r="F25" s="276"/>
    </row>
    <row r="26" spans="1:256">
      <c r="A26" s="277" t="str">
        <f>IF(F14="non",'Données générales'!$L$8,"")</f>
        <v>Solidarité autonomie</v>
      </c>
      <c r="B26" s="278">
        <f>IF(D19="","",IF(F14="Oui","",D19))</f>
        <v>1752</v>
      </c>
      <c r="C26" s="281"/>
      <c r="D26" s="282"/>
      <c r="E26" s="283">
        <f>IF($B$10="","",IF(F14="Oui","",IF($B$10=2,'Données générales'!N8,'Données générales'!P8)))</f>
        <v>3.0000000000000001E-3</v>
      </c>
      <c r="F26" s="284">
        <f>IF(B10="","",IF(D19="","",IF(F14="Oui","",B26*E26)))</f>
        <v>5.2560000000000002</v>
      </c>
      <c r="J26" s="280"/>
      <c r="K26" s="280"/>
      <c r="L26" s="280"/>
    </row>
    <row r="27" spans="1:256">
      <c r="A27" s="277" t="str">
        <f>IF(F14="Non",'Données générales'!$L$10,"")</f>
        <v>SS Maladie (sur tot.)</v>
      </c>
      <c r="B27" s="278">
        <f>IF(D19="","",IF(F14="Oui","",D19))</f>
        <v>1752</v>
      </c>
      <c r="C27" s="200">
        <f>IF($B$10="","",IF(F14="Oui","",IF(B10=2,'Données générales'!M10,IF(B10=2,'Données générales'!Q10,IF(B10=1,'Données générales'!O10,IF(B10=2,'Données générales'!M10))))))</f>
        <v>0</v>
      </c>
      <c r="D27" s="274">
        <f>IF(B10="","",IF(F14="Oui","",IF(D19="",0,B27*C27)))</f>
        <v>0</v>
      </c>
      <c r="E27" s="283">
        <f>IF($B$10="","",IF(F14="Oui","",IF($B$10=2,'Données générales'!N10,IF($B$10=2,'Données générales'!R10,IF($B$10=1,'Données générales'!P10,IF($B$10=2,'Données générales'!N10))))))</f>
        <v>0.13</v>
      </c>
      <c r="F27" s="284">
        <f>IF(B10="","",IF(D19="","",IF(F14="Oui","",B27*E27)))</f>
        <v>227.76000000000002</v>
      </c>
    </row>
    <row r="28" spans="1:256">
      <c r="A28" s="277" t="str">
        <f>IF(F14="Non",'Données générales'!$L$12,"")</f>
        <v>FNAL (sur tot.)</v>
      </c>
      <c r="B28" s="278">
        <f>IF(D19="","",IF(F14="Oui","",D19))</f>
        <v>1752</v>
      </c>
      <c r="C28" s="285"/>
      <c r="D28" s="286"/>
      <c r="E28" s="283">
        <f>IF($B$10="","",IF(F14="Oui","",IF($B$10=2,'Données générales'!N12,'Données générales'!P12)))</f>
        <v>5.0000000000000001E-3</v>
      </c>
      <c r="F28" s="284">
        <f>IF(B10="","",IF(D19="","",IF(F14="Oui","",B28*E28)))</f>
        <v>8.76</v>
      </c>
    </row>
    <row r="29" spans="1:256">
      <c r="A29" s="277" t="str">
        <f>IF(F14="Non",'Données générales'!$L$13,"")</f>
        <v>Vieillesse (sur tot)</v>
      </c>
      <c r="B29" s="278">
        <f>IF(D19="","",IF(F14="Oui","",D19))</f>
        <v>1752</v>
      </c>
      <c r="C29" s="200">
        <f>IF(B10="","",IF(F14="Oui","",IF(B10=2,'Données générales'!M13,'Données générales'!O13)))</f>
        <v>4.0000000000000001E-3</v>
      </c>
      <c r="D29" s="274">
        <f>IF(B10="","",IF(F14="Oui","",IF(D19="",0,B29*C29)))</f>
        <v>7.008</v>
      </c>
      <c r="E29" s="283">
        <f>IF($B$10="","",IF(F14="Oui","",IF($B$10=2,'Données générales'!N13,'Données générales'!P13)))</f>
        <v>2.1100000000000001E-2</v>
      </c>
      <c r="F29" s="284">
        <f>IF(B10="","",IF(D19="","",IF(F14="Oui","",B29*E29)))</f>
        <v>36.967199999999998</v>
      </c>
    </row>
    <row r="30" spans="1:256">
      <c r="A30" s="277" t="str">
        <f>IF(F14="Non",'Données générales'!$L$14,"")</f>
        <v>Vieillesse (sur plaf)</v>
      </c>
      <c r="B30" s="278">
        <f>IF(D19="","",IF(F14="Oui","",IF(D19&lt;=PlafondSS,D19,PlafondSS)))</f>
        <v>1752</v>
      </c>
      <c r="C30" s="200">
        <f>IF(B10="","",IF(F14="Oui","",IF(B10=2,'Données générales'!M14,'Données générales'!O14)))</f>
        <v>6.9000000000000006E-2</v>
      </c>
      <c r="D30" s="274">
        <f>IF(B10="","",IF(F14="Oui","",IF(D19="",0,B30*C30)))</f>
        <v>120.88800000000001</v>
      </c>
      <c r="E30" s="283">
        <f>IF($B$10="","",IF(F14="Oui","",IF($B$10=2,'Données générales'!N14,'Données générales'!P14)))</f>
        <v>8.5500000000000007E-2</v>
      </c>
      <c r="F30" s="284">
        <f>IF(B10="","",IF(D19="","",IF(F14="Oui","",B30*E30)))</f>
        <v>149.79600000000002</v>
      </c>
      <c r="I30" s="433" t="s">
        <v>134</v>
      </c>
      <c r="J30" s="433"/>
      <c r="K30" s="109"/>
      <c r="L30" s="110"/>
      <c r="M30" s="207"/>
    </row>
    <row r="31" spans="1:256">
      <c r="A31" s="277" t="str">
        <f>IF(F14="Non",'Données générales'!$L$15,"")</f>
        <v>Accident du travail</v>
      </c>
      <c r="B31" s="278">
        <f>IF(D19="","",IF(F14="Oui","",D19))</f>
        <v>1752</v>
      </c>
      <c r="C31" s="281"/>
      <c r="D31" s="287"/>
      <c r="E31" s="288">
        <v>0.01</v>
      </c>
      <c r="F31" s="284" t="str">
        <f>IF($B$10="","",IF(F14="Oui","",IF($D$19="","",IF($F$6&gt;=11,"",B31*E31))))</f>
        <v/>
      </c>
      <c r="I31" s="111"/>
      <c r="J31" s="112" t="s">
        <v>135</v>
      </c>
      <c r="K31" s="108">
        <f>IF(niveau_recrutement="",0,ROUND(D19,0))</f>
        <v>1752</v>
      </c>
      <c r="L31" s="114"/>
    </row>
    <row r="32" spans="1:256">
      <c r="A32" s="277" t="str">
        <f>IF(F14="Non",'Données générales'!$L$16,"")</f>
        <v>Allocations familiales (sur tot)</v>
      </c>
      <c r="B32" s="278">
        <f>IF(D19="","",IF(F14="Oui","",D19))</f>
        <v>1752</v>
      </c>
      <c r="C32" s="200"/>
      <c r="D32" s="274"/>
      <c r="E32" s="283">
        <f>IF($B$10="","",IF(F14="Oui","",IF($B$10=2,'Données générales'!N16,'Données générales'!P16)))</f>
        <v>5.2499999999999998E-2</v>
      </c>
      <c r="F32" s="284">
        <f>IF($B$10="","",IF(F14="Oui","",IF($D$19="","",B32*E32)))</f>
        <v>91.97999999999999</v>
      </c>
      <c r="I32" s="111"/>
      <c r="J32" s="112" t="s">
        <v>136</v>
      </c>
      <c r="K32" s="113"/>
      <c r="L32" s="114"/>
    </row>
    <row r="33" spans="1:12">
      <c r="A33" s="277" t="str">
        <f>'Données générales'!$L$19</f>
        <v>Versement mobilité</v>
      </c>
      <c r="B33" s="278">
        <f>IF(D19="","",D19)</f>
        <v>1752</v>
      </c>
      <c r="C33" s="281"/>
      <c r="D33" s="282"/>
      <c r="E33" s="288">
        <v>3.2000000000000001E-2</v>
      </c>
      <c r="F33" s="284">
        <f>IF($B$10="","",IF($D$19="","",B33*E33))</f>
        <v>56.064</v>
      </c>
      <c r="I33" s="111"/>
      <c r="J33" s="122" t="str">
        <f>"Assiette &lt; =" &amp; TSmensuel1</f>
        <v>Assiette &lt; =762</v>
      </c>
      <c r="K33" s="122" t="str">
        <f>TSmensuel1 &amp; "&lt;Assiette&lt;=" &amp; TSmensuel2</f>
        <v>762&lt;Assiette&lt;=1522</v>
      </c>
      <c r="L33" s="122" t="str">
        <f>"Assiette &gt;" &amp; TSmensuel2</f>
        <v>Assiette &gt;1522</v>
      </c>
    </row>
    <row r="34" spans="1:12">
      <c r="A34" s="277" t="str">
        <f>'Données générales'!$L$17</f>
        <v>Versement mobilité additionnelle</v>
      </c>
      <c r="B34" s="278">
        <f>IF(D19="","",D19)</f>
        <v>1752</v>
      </c>
      <c r="C34" s="281"/>
      <c r="D34" s="282"/>
      <c r="E34" s="288"/>
      <c r="F34" s="284">
        <f t="shared" ref="F34:F35" si="0">IF($B$10="","",IF($D$19="","",B34*E34))</f>
        <v>0</v>
      </c>
      <c r="I34" s="112" t="s">
        <v>137</v>
      </c>
      <c r="J34" s="115">
        <f>ROUND(IF(ASSIETTETAXESAL2&lt;=TSmensuel1,(ASSIETTETAXESAL2*TStaux1),0),2)</f>
        <v>0</v>
      </c>
      <c r="K34" s="115">
        <f>IF(AND(ASSIETTETAXESAL2&gt;TSmensuel1,ASSIETTETAXESAL2&lt;=TSmensuel2),TSmensuel1*TStaux1,0)</f>
        <v>0</v>
      </c>
      <c r="L34" s="116">
        <f>ROUND(IF(ASSIETTETAXESAL2&gt;TSmensuel2,TSmensuel1*TStaux1,0),2)</f>
        <v>32.39</v>
      </c>
    </row>
    <row r="35" spans="1:12" ht="26">
      <c r="A35" s="432" t="str">
        <f>'Données générales'!$L$18</f>
        <v>Versement mobilité Régionale et Rurale</v>
      </c>
      <c r="B35" s="278">
        <f>IF(D19="","",D19)</f>
        <v>1752</v>
      </c>
      <c r="C35" s="281"/>
      <c r="D35" s="282"/>
      <c r="E35" s="288"/>
      <c r="F35" s="284">
        <f t="shared" si="0"/>
        <v>0</v>
      </c>
      <c r="I35" s="112" t="s">
        <v>138</v>
      </c>
      <c r="J35" s="115"/>
      <c r="K35" s="115">
        <f>ROUND(IF(AND(ASSIETTETAXESAL2&gt;TSmensuel1,ASSIETTETAXESAL2&lt;=TSmensuel2),((ASSIETTETAXESAL2-TSmensuel1)*TStaux2),0 ),2)</f>
        <v>0</v>
      </c>
      <c r="L35" s="107">
        <f>ROUND(IF(ASSIETTETAXESAL2&gt;TSmensuel2,(TSmensuel2-TSmensuel1)*TStaux2,0),2)</f>
        <v>64.599999999999994</v>
      </c>
    </row>
    <row r="36" spans="1:12">
      <c r="A36" s="277" t="str">
        <f>IF(F14="Non",'Données générales'!$G$11,"")</f>
        <v>Assurance chômage</v>
      </c>
      <c r="B36" s="278">
        <f>IF(D19="","",IF(F14="Oui","",D19))</f>
        <v>1752</v>
      </c>
      <c r="C36" s="200"/>
      <c r="D36" s="274"/>
      <c r="E36" s="283">
        <f>IF($B$10="","",IF(F16="Oui","",IF($B$10=2,'Données générales'!H11,'Données générales'!H11)))</f>
        <v>0.04</v>
      </c>
      <c r="F36" s="284">
        <f>IF($B$10="","",IF(F14="Oui","",IF($D$19="","",B36*E36)))</f>
        <v>70.08</v>
      </c>
      <c r="I36" s="112" t="s">
        <v>139</v>
      </c>
      <c r="J36" s="115"/>
      <c r="K36" s="115"/>
      <c r="L36" s="116">
        <f>ROUND(IF(ASSIETTETAXESAL2&gt;TSmensuel2,(ASSIETTETAXESAL-TSmensuel2)*TStaux4,0),2)</f>
        <v>444.58</v>
      </c>
    </row>
    <row r="37" spans="1:12">
      <c r="A37" s="277" t="str">
        <f>IF(F14="Oui","",'Données générales'!$L$20)</f>
        <v>IRCANTEC tranche A</v>
      </c>
      <c r="B37" s="278">
        <f>IF(D19="","",IF(F14="Oui","",IF(D19&lt;=PlafondSS,D19,PlafondSS)))</f>
        <v>1752</v>
      </c>
      <c r="C37" s="200">
        <f>IF(B10="","",IF(F14="Oui","",IF(B10=2,'Données générales'!M20,'Données générales'!O20)))</f>
        <v>2.8400000000000002E-2</v>
      </c>
      <c r="D37" s="274">
        <f>IF(B10="","",IF(F14="Oui","",IF(D19="","",B37*C37)))</f>
        <v>49.756800000000005</v>
      </c>
      <c r="E37" s="283">
        <f>IF($B$10="","",IF(F14="Oui","",IF($B$10=2,'Données générales'!N20,'Données générales'!P20)))</f>
        <v>4.2700000000000002E-2</v>
      </c>
      <c r="F37" s="284">
        <f>IF($B$10="","",IF(F14="Oui","",IF($D$19="","",B37*E37)))</f>
        <v>74.810400000000001</v>
      </c>
      <c r="I37" s="112"/>
      <c r="J37" s="115">
        <f>ROUND(J34*TSassujettissement,0)</f>
        <v>0</v>
      </c>
      <c r="K37" s="115">
        <f>ROUND((SUM(K34:K35)*TSassujettissement),0)</f>
        <v>0</v>
      </c>
      <c r="L37" s="116">
        <f>ROUND((SUM(L34:L36)*TSassujettissement),0)</f>
        <v>520</v>
      </c>
    </row>
    <row r="38" spans="1:12">
      <c r="A38" s="277" t="str">
        <f>IF(D19="","",IF(F14="Oui","",IF(D19&gt;PlafondSS,'Données générales'!L21,"")))</f>
        <v/>
      </c>
      <c r="B38" s="278" t="str">
        <f>IF(D19="","",IF(F14="Oui","",IF(D19&gt;PlafondSS,D19-PlafondSS,"")))</f>
        <v/>
      </c>
      <c r="C38" s="200" t="str">
        <f>IF(F14="Oui","",IF(D19&lt;=PlafondSS,"",IF(B10="","",IF(B10=2,'Données générales'!M21,IF(A38="","",'Données générales'!O21)))))</f>
        <v/>
      </c>
      <c r="D38" s="274">
        <f>IF(F14="Oui","",IF(D19="","",IF(D19&lt;=PlafondSS,0,ROUND(B38*C38,2))))</f>
        <v>0</v>
      </c>
      <c r="E38" s="283" t="str">
        <f>IF(F14="Oui","",IF(D19&lt;=PlafondSS,"",IF(B10="","",IF(B10=2,'Données générales'!N21,IF(A38="","",'Données générales'!P21)))))</f>
        <v/>
      </c>
      <c r="F38" s="284" t="str">
        <f>IF(F14="Oui","",IF($D$19="","",IF($D$19&lt;=PlafondSS,"",B38*E38)))</f>
        <v/>
      </c>
      <c r="G38" s="296"/>
    </row>
    <row r="39" spans="1:12">
      <c r="A39" s="277" t="str">
        <f>IF($F$10="","",IF(F14="Oui","",IF($F$10="France","",'Données générales'!L22)))</f>
        <v/>
      </c>
      <c r="B39" s="278" t="str">
        <f>IF($F$10="","",IF(F14="Oui","",IF($F$10="France","",IF(D19="","",D19))))</f>
        <v/>
      </c>
      <c r="C39" s="200" t="str">
        <f>IF($F$10="","",IF(F14="Oui","",IF($F$10="France","",IF(B10=2,'Données générales'!M22,'Données générales'!O22))))</f>
        <v/>
      </c>
      <c r="D39" s="274">
        <f>IF($F$10="","",IF(F14="Oui","",IF(D19="","",IF($F$10="France",0,B39*C39))))</f>
        <v>0</v>
      </c>
      <c r="E39" s="275"/>
      <c r="F39" s="289"/>
    </row>
    <row r="40" spans="1:12">
      <c r="A40" s="290" t="s">
        <v>60</v>
      </c>
      <c r="B40" s="291">
        <f>IF(D19="","",D19)</f>
        <v>1752</v>
      </c>
      <c r="C40" s="292"/>
      <c r="D40" s="293"/>
      <c r="E40" s="294"/>
      <c r="F40" s="295">
        <f>IF(J37&gt;0,J37,IF(K37&gt;0,K37,IF(L37&gt;0,L37,0)))</f>
        <v>520</v>
      </c>
    </row>
    <row r="41" spans="1:12">
      <c r="A41" s="297" t="s">
        <v>39</v>
      </c>
      <c r="C41" s="143"/>
      <c r="D41" s="270">
        <f>IF(D19="","",SUM(D23:D39))</f>
        <v>344.62278000000003</v>
      </c>
      <c r="E41" s="143"/>
      <c r="F41" s="270">
        <f>IF(D19="","",SUM(F23:F40))</f>
        <v>1241.4736</v>
      </c>
    </row>
    <row r="42" spans="1:12" ht="3" customHeight="1" thickBot="1"/>
    <row r="43" spans="1:12" ht="13.75" thickBot="1">
      <c r="A43" s="153" t="s">
        <v>40</v>
      </c>
      <c r="B43" s="298">
        <f>IF(D19="",0,D19-D41+D24+D25)</f>
        <v>1457.2960799999998</v>
      </c>
    </row>
    <row r="44" spans="1:12" ht="3" customHeight="1" thickBot="1">
      <c r="B44" s="221"/>
    </row>
    <row r="45" spans="1:12" ht="12" customHeight="1" thickBot="1">
      <c r="A45" s="153" t="s">
        <v>41</v>
      </c>
      <c r="B45" s="298">
        <f>IF(D19="",0,D19-D41+B47)</f>
        <v>1407.3772199999999</v>
      </c>
      <c r="C45" s="231"/>
      <c r="D45" s="232"/>
      <c r="F45" s="232"/>
    </row>
    <row r="46" spans="1:12" ht="3" customHeight="1">
      <c r="B46" s="221"/>
    </row>
    <row r="47" spans="1:12">
      <c r="A47" s="1" t="s">
        <v>156</v>
      </c>
      <c r="B47" s="228">
        <f>IF(Heures&gt;=60,IF((C47*75)/100&gt;'Données générales'!H13,'Données générales'!H13,(C47*75)/100),IF((C47*75)/200&gt;'Données générales'!H14,'Données générales'!H14,(C47*75)/200))</f>
        <v>0</v>
      </c>
      <c r="C47" s="142">
        <v>0</v>
      </c>
      <c r="D47" s="1"/>
      <c r="E47" s="143"/>
      <c r="F47" s="1"/>
    </row>
    <row r="48" spans="1:12" ht="3" customHeight="1" thickBot="1">
      <c r="B48" s="221"/>
    </row>
    <row r="49" spans="1:5" ht="13.75" thickBot="1">
      <c r="A49" s="299" t="s">
        <v>42</v>
      </c>
      <c r="B49" s="298">
        <f>IF(D19="",0,D19+B47+F41)</f>
        <v>2993.4736000000003</v>
      </c>
      <c r="E49" s="153"/>
    </row>
    <row r="50" spans="1:5" ht="13.75" thickBot="1">
      <c r="A50" s="300"/>
      <c r="B50" s="221"/>
    </row>
    <row r="51" spans="1:5" ht="13.75" thickBot="1">
      <c r="A51" s="299" t="s">
        <v>88</v>
      </c>
      <c r="B51" s="298">
        <f>IF(D19="",0,D19+B47+F41)</f>
        <v>2993.4736000000003</v>
      </c>
    </row>
    <row r="52" spans="1:5">
      <c r="D52" s="301"/>
    </row>
    <row r="53" spans="1:5">
      <c r="D53" s="301"/>
    </row>
  </sheetData>
  <sheetProtection algorithmName="SHA-512" hashValue="TBPFpNnblLFFaYbTPFkSYrMiX4u0TbrFzVxUBct6Ezhv6NbpHkxIs/p7f/zLgDlCAdjy/vWPia9NN9+KEPeW+A==" saltValue="xBaynH1eqJwbrS4qUOz4AQ==" spinCount="100000" sheet="1" objects="1" scenarios="1"/>
  <protectedRanges>
    <protectedRange sqref="E33:E35" name="Plage2"/>
    <protectedRange sqref="E31" name="Plage1"/>
  </protectedRanges>
  <mergeCells count="12">
    <mergeCell ref="J3:L3"/>
    <mergeCell ref="A2:F2"/>
    <mergeCell ref="I30:J30"/>
    <mergeCell ref="J4:L4"/>
    <mergeCell ref="B21:B22"/>
    <mergeCell ref="B8:C8"/>
    <mergeCell ref="B4:D4"/>
    <mergeCell ref="J10:L10"/>
    <mergeCell ref="J12:L12"/>
    <mergeCell ref="C21:F21"/>
    <mergeCell ref="B16:B17"/>
    <mergeCell ref="C16:D16"/>
  </mergeCells>
  <phoneticPr fontId="11" type="noConversion"/>
  <conditionalFormatting sqref="B12:B13">
    <cfRule type="cellIs" dxfId="3" priority="6" stopIfTrue="1" operator="greaterThan">
      <formula>120</formula>
    </cfRule>
  </conditionalFormatting>
  <conditionalFormatting sqref="C12:C14">
    <cfRule type="expression" dxfId="2" priority="7" stopIfTrue="1">
      <formula>IF($B$12&gt;120,TRUE,FALSE)</formula>
    </cfRule>
  </conditionalFormatting>
  <conditionalFormatting sqref="D6">
    <cfRule type="cellIs" dxfId="1" priority="4" stopIfTrue="1" operator="lessThan">
      <formula>$B$6</formula>
    </cfRule>
  </conditionalFormatting>
  <conditionalFormatting sqref="F6">
    <cfRule type="cellIs" dxfId="0" priority="3" stopIfTrue="1" operator="lessThan">
      <formula>0</formula>
    </cfRule>
  </conditionalFormatting>
  <dataValidations count="5">
    <dataValidation type="list" allowBlank="1" showInputMessage="1" showErrorMessage="1" sqref="F12" xr:uid="{00000000-0002-0000-0200-000000000000}">
      <formula1>Abondement</formula1>
    </dataValidation>
    <dataValidation type="list" allowBlank="1" showInputMessage="1" showErrorMessage="1" sqref="F10" xr:uid="{00000000-0002-0000-0200-000001000000}">
      <formula1>Domicilefiscal</formula1>
    </dataValidation>
    <dataValidation type="list" allowBlank="1" showInputMessage="1" showErrorMessage="1" sqref="B8:C8" xr:uid="{00000000-0002-0000-0200-000002000000}">
      <formula1>Niveau_vacation</formula1>
    </dataValidation>
    <dataValidation type="list" allowBlank="1" showInputMessage="1" showErrorMessage="1" sqref="B10" xr:uid="{00000000-0002-0000-0200-000003000000}">
      <formula1>Res.administrative</formula1>
    </dataValidation>
    <dataValidation type="list" allowBlank="1" showInputMessage="1" showErrorMessage="1" sqref="F14" xr:uid="{00000000-0002-0000-0200-000004000000}">
      <formula1>Augment_previs</formula1>
    </dataValidation>
  </dataValidation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>
    <oddFooter>&amp;L&amp;"Arial Narrow,Normal"&amp;8Délégation Alsace&amp;R&amp;"Arial Narrow,Normal"&amp;8Simulation éditée le &amp;D</oddFoot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4"/>
  <dimension ref="A1:AT98"/>
  <sheetViews>
    <sheetView topLeftCell="A37" workbookViewId="0">
      <selection activeCell="Q39" sqref="Q39"/>
    </sheetView>
  </sheetViews>
  <sheetFormatPr baseColWidth="10" defaultColWidth="11.40625" defaultRowHeight="13"/>
  <cols>
    <col min="1" max="16384" width="11.40625" style="77"/>
  </cols>
  <sheetData>
    <row r="1" spans="1:33">
      <c r="A1" s="76"/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6"/>
      <c r="Z1" s="76"/>
      <c r="AA1" s="76"/>
      <c r="AB1" s="76"/>
      <c r="AC1" s="76"/>
      <c r="AD1" s="76"/>
      <c r="AE1" s="76"/>
      <c r="AF1" s="76"/>
      <c r="AG1" s="76"/>
    </row>
    <row r="2" spans="1:33">
      <c r="A2" s="76"/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  <c r="Y2" s="76"/>
      <c r="Z2" s="76"/>
      <c r="AA2" s="76"/>
      <c r="AB2" s="76"/>
      <c r="AC2" s="76"/>
      <c r="AD2" s="76"/>
      <c r="AE2" s="76"/>
      <c r="AF2" s="76"/>
      <c r="AG2" s="76"/>
    </row>
    <row r="3" spans="1:33" ht="45" customHeight="1">
      <c r="A3" s="76"/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6"/>
      <c r="X3" s="76"/>
      <c r="Y3" s="76"/>
      <c r="Z3" s="76"/>
      <c r="AA3" s="76"/>
      <c r="AB3" s="76"/>
      <c r="AC3" s="76"/>
      <c r="AD3" s="76"/>
      <c r="AE3" s="76"/>
      <c r="AF3" s="76"/>
      <c r="AG3" s="76"/>
    </row>
    <row r="4" spans="1:33" s="83" customFormat="1" ht="16.5" customHeight="1">
      <c r="A4" s="88"/>
      <c r="B4" s="472" t="s">
        <v>53</v>
      </c>
      <c r="C4" s="472"/>
      <c r="D4" s="472"/>
      <c r="E4" s="472"/>
      <c r="F4" s="472"/>
      <c r="G4" s="472"/>
      <c r="H4" s="472"/>
      <c r="I4" s="472"/>
      <c r="J4" s="472"/>
      <c r="K4" s="472"/>
      <c r="L4" s="472"/>
      <c r="M4" s="472"/>
      <c r="N4" s="472"/>
      <c r="O4" s="89"/>
    </row>
    <row r="5" spans="1:33" ht="15.75">
      <c r="A5" s="79" t="s">
        <v>158</v>
      </c>
      <c r="B5" s="78"/>
      <c r="C5" s="78"/>
      <c r="D5" s="78"/>
      <c r="E5" s="78"/>
      <c r="F5" s="78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  <c r="V5" s="76"/>
      <c r="W5" s="76"/>
      <c r="X5" s="76"/>
      <c r="Y5" s="76"/>
      <c r="Z5" s="76"/>
      <c r="AA5" s="76"/>
      <c r="AC5" s="76"/>
      <c r="AD5" s="76"/>
      <c r="AE5" s="76"/>
    </row>
    <row r="6" spans="1:33" s="76" customFormat="1" ht="15.75">
      <c r="A6" s="93"/>
      <c r="B6" s="93" t="str">
        <f>"(attention pour les mois de  30 jours, saisir, exemple : 30/04/" &amp; YEAR(Date_ref) &amp; " et les mois de 31 jours 31/01/" &amp; YEAR(Date_ref) &amp; ", la durée du contrat va s'afficher dans la cellule F6)."</f>
        <v>(attention pour les mois de  30 jours, saisir, exemple : 30/04/2026 et les mois de 31 jours 31/01/2026, la durée du contrat va s'afficher dans la cellule F6).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</row>
    <row r="7" spans="1:33" s="76" customFormat="1" ht="15.75">
      <c r="A7" s="93"/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</row>
    <row r="8" spans="1:33" ht="15.75">
      <c r="A8" s="79" t="s">
        <v>159</v>
      </c>
      <c r="B8" s="78"/>
      <c r="C8" s="78"/>
      <c r="D8" s="78"/>
      <c r="E8" s="78"/>
      <c r="F8" s="78"/>
      <c r="M8" s="76"/>
      <c r="N8" s="76"/>
      <c r="O8" s="76"/>
      <c r="Q8" s="76"/>
      <c r="S8" s="76"/>
      <c r="T8" s="76"/>
      <c r="U8" s="76"/>
      <c r="V8" s="76"/>
      <c r="W8" s="76"/>
      <c r="X8" s="76"/>
      <c r="Y8" s="76"/>
      <c r="Z8" s="76"/>
      <c r="AA8" s="76"/>
      <c r="AB8" s="76"/>
      <c r="AC8" s="76"/>
      <c r="AD8" s="76"/>
      <c r="AE8" s="76"/>
    </row>
    <row r="9" spans="1:33" s="76" customFormat="1" ht="15.75">
      <c r="A9" s="91"/>
      <c r="B9" s="91"/>
      <c r="C9" s="91"/>
      <c r="D9" s="91"/>
      <c r="E9" s="91"/>
      <c r="F9" s="91"/>
      <c r="G9" s="91"/>
      <c r="H9" s="91"/>
      <c r="I9" s="91"/>
      <c r="J9" s="91"/>
      <c r="K9" s="91"/>
      <c r="L9" s="91"/>
      <c r="M9" s="91"/>
      <c r="N9" s="91"/>
      <c r="O9" s="91"/>
      <c r="P9" s="91"/>
    </row>
    <row r="10" spans="1:33" ht="15.75">
      <c r="A10" s="79" t="s">
        <v>160</v>
      </c>
      <c r="B10" s="78"/>
      <c r="C10" s="78"/>
      <c r="D10" s="78"/>
      <c r="E10" s="78"/>
      <c r="F10" s="78"/>
      <c r="N10" s="76"/>
      <c r="O10" s="76"/>
      <c r="P10" s="76"/>
      <c r="Q10" s="76"/>
      <c r="S10" s="76"/>
      <c r="T10" s="76"/>
      <c r="U10" s="76"/>
      <c r="V10" s="76"/>
      <c r="W10" s="76"/>
      <c r="X10" s="76"/>
      <c r="Y10" s="76"/>
      <c r="Z10" s="76"/>
      <c r="AA10" s="76"/>
      <c r="AB10" s="76"/>
      <c r="AC10" s="76"/>
      <c r="AD10" s="76"/>
      <c r="AE10" s="76"/>
    </row>
    <row r="11" spans="1:33" s="76" customFormat="1" ht="15.75">
      <c r="A11" s="91"/>
      <c r="B11" s="91"/>
      <c r="C11" s="91"/>
      <c r="D11" s="91"/>
      <c r="E11" s="91"/>
      <c r="F11" s="91"/>
      <c r="G11" s="91"/>
      <c r="H11" s="91"/>
      <c r="I11" s="91"/>
      <c r="J11" s="91"/>
      <c r="K11" s="91"/>
      <c r="L11" s="91"/>
      <c r="M11" s="91"/>
      <c r="N11" s="91"/>
      <c r="O11" s="91"/>
      <c r="P11" s="91"/>
    </row>
    <row r="12" spans="1:33" ht="15.75">
      <c r="A12" s="79" t="s">
        <v>161</v>
      </c>
      <c r="B12" s="78"/>
      <c r="C12" s="78"/>
      <c r="D12" s="78"/>
      <c r="E12" s="78"/>
      <c r="F12" s="78"/>
      <c r="I12" s="76"/>
      <c r="J12" s="76"/>
      <c r="L12" s="76"/>
      <c r="M12" s="76"/>
      <c r="N12" s="76"/>
      <c r="P12" s="76"/>
      <c r="Q12" s="76"/>
      <c r="S12" s="76"/>
      <c r="T12" s="76"/>
      <c r="U12" s="76"/>
      <c r="V12" s="76"/>
      <c r="W12" s="76"/>
      <c r="X12" s="76"/>
      <c r="Y12" s="76"/>
      <c r="Z12" s="76"/>
      <c r="AA12" s="76"/>
      <c r="AB12" s="76"/>
      <c r="AC12" s="76"/>
      <c r="AD12" s="76"/>
      <c r="AE12" s="76"/>
    </row>
    <row r="13" spans="1:33" s="76" customFormat="1" ht="15.75">
      <c r="A13" s="91"/>
      <c r="B13" s="91"/>
      <c r="C13" s="91"/>
      <c r="D13" s="91"/>
      <c r="E13" s="91"/>
      <c r="F13" s="91"/>
      <c r="G13" s="91"/>
      <c r="H13" s="91"/>
      <c r="I13" s="91"/>
      <c r="J13" s="91"/>
      <c r="K13" s="91"/>
      <c r="L13" s="91"/>
      <c r="M13" s="91"/>
      <c r="N13" s="91"/>
      <c r="O13" s="91"/>
      <c r="P13" s="91"/>
    </row>
    <row r="14" spans="1:33" ht="15.75">
      <c r="A14" s="81" t="s">
        <v>174</v>
      </c>
      <c r="B14" s="78"/>
      <c r="C14" s="78"/>
      <c r="D14" s="78"/>
      <c r="E14" s="78"/>
      <c r="F14" s="75"/>
      <c r="G14" s="76"/>
      <c r="H14" s="76"/>
      <c r="I14" s="76"/>
      <c r="J14" s="76"/>
      <c r="K14" s="76"/>
      <c r="L14" s="76"/>
      <c r="M14" s="76"/>
      <c r="N14" s="76"/>
      <c r="O14" s="76"/>
      <c r="P14" s="76"/>
      <c r="Q14" s="76"/>
      <c r="S14" s="76"/>
      <c r="T14" s="76"/>
      <c r="U14" s="76"/>
      <c r="V14" s="76"/>
      <c r="W14" s="76"/>
      <c r="X14" s="76"/>
      <c r="Y14" s="76"/>
      <c r="Z14" s="76"/>
      <c r="AA14" s="76"/>
      <c r="AB14" s="76"/>
      <c r="AC14" s="76"/>
      <c r="AD14" s="76"/>
      <c r="AE14" s="76"/>
    </row>
    <row r="15" spans="1:33" s="76" customFormat="1" ht="15.75">
      <c r="A15" s="94" t="s">
        <v>175</v>
      </c>
      <c r="B15" s="91"/>
      <c r="C15" s="91"/>
      <c r="D15" s="91"/>
      <c r="E15" s="91"/>
      <c r="F15" s="91"/>
      <c r="G15" s="91"/>
      <c r="H15" s="91"/>
      <c r="I15" s="91"/>
      <c r="J15" s="91"/>
      <c r="K15" s="91"/>
      <c r="L15" s="91"/>
      <c r="M15" s="91"/>
      <c r="N15" s="91"/>
      <c r="O15" s="91"/>
      <c r="P15" s="91"/>
    </row>
    <row r="16" spans="1:33" s="76" customFormat="1" ht="15.75">
      <c r="A16" s="91"/>
      <c r="B16" s="91"/>
      <c r="C16" s="91"/>
      <c r="D16" s="91"/>
      <c r="E16" s="91"/>
      <c r="F16" s="91"/>
      <c r="G16" s="91"/>
      <c r="H16" s="91"/>
      <c r="I16" s="91"/>
      <c r="J16" s="91"/>
      <c r="K16" s="91"/>
      <c r="L16" s="91"/>
      <c r="M16" s="91"/>
      <c r="N16" s="91"/>
      <c r="O16" s="91"/>
      <c r="P16" s="91"/>
    </row>
    <row r="17" spans="1:46" ht="15.75">
      <c r="A17" s="79" t="s">
        <v>179</v>
      </c>
      <c r="B17" s="78"/>
      <c r="C17" s="78"/>
      <c r="D17" s="78"/>
      <c r="E17" s="78"/>
      <c r="F17" s="78"/>
      <c r="J17" s="76"/>
      <c r="K17" s="76"/>
      <c r="L17" s="76"/>
      <c r="M17" s="76"/>
      <c r="N17" s="76"/>
      <c r="O17" s="76"/>
      <c r="Q17" s="76"/>
      <c r="S17" s="76"/>
      <c r="T17" s="76"/>
      <c r="U17" s="76"/>
      <c r="V17" s="76"/>
      <c r="W17" s="76"/>
      <c r="X17" s="76"/>
      <c r="Y17" s="76"/>
      <c r="Z17" s="76"/>
      <c r="AA17" s="76"/>
      <c r="AB17" s="76"/>
      <c r="AC17" s="76"/>
      <c r="AD17" s="76"/>
      <c r="AE17" s="76"/>
    </row>
    <row r="18" spans="1:46" s="76" customFormat="1" ht="15.75">
      <c r="A18" s="91"/>
      <c r="B18" s="91"/>
      <c r="C18" s="91"/>
      <c r="D18" s="91"/>
      <c r="E18" s="91"/>
      <c r="F18" s="91"/>
      <c r="G18" s="91"/>
      <c r="H18" s="91"/>
      <c r="I18" s="91"/>
      <c r="N18" s="91"/>
      <c r="O18" s="91"/>
      <c r="P18" s="91"/>
    </row>
    <row r="19" spans="1:46" ht="15.75">
      <c r="A19" s="79" t="s">
        <v>180</v>
      </c>
      <c r="B19" s="78"/>
      <c r="C19" s="78"/>
      <c r="D19" s="78"/>
      <c r="E19" s="78"/>
      <c r="F19" s="78"/>
      <c r="H19" s="76"/>
      <c r="I19" s="76"/>
      <c r="J19" s="76"/>
      <c r="K19" s="76"/>
      <c r="L19" s="76"/>
      <c r="M19" s="76"/>
      <c r="N19" s="76"/>
      <c r="O19" s="76"/>
      <c r="P19" s="76"/>
      <c r="Q19" s="76"/>
      <c r="R19" s="76"/>
      <c r="T19" s="76"/>
      <c r="U19" s="76"/>
      <c r="V19" s="76"/>
      <c r="W19" s="76"/>
      <c r="X19" s="76"/>
      <c r="Y19" s="76"/>
      <c r="Z19" s="76"/>
      <c r="AA19" s="76"/>
      <c r="AC19" s="76"/>
      <c r="AD19" s="76"/>
      <c r="AE19" s="76"/>
    </row>
    <row r="20" spans="1:46" s="76" customFormat="1" ht="15.75">
      <c r="A20" s="91"/>
      <c r="B20" s="91"/>
      <c r="C20" s="91"/>
      <c r="D20" s="91"/>
      <c r="E20" s="91"/>
      <c r="F20" s="91"/>
      <c r="G20" s="91"/>
      <c r="H20" s="91"/>
      <c r="I20" s="91"/>
      <c r="J20" s="91"/>
      <c r="K20" s="91"/>
      <c r="L20" s="91"/>
      <c r="M20" s="91"/>
      <c r="N20" s="91"/>
      <c r="O20" s="91"/>
      <c r="P20" s="91"/>
    </row>
    <row r="21" spans="1:46" ht="15.75">
      <c r="A21" s="79" t="s">
        <v>181</v>
      </c>
      <c r="B21" s="78"/>
      <c r="C21" s="78"/>
      <c r="D21" s="78"/>
      <c r="E21" s="78"/>
      <c r="F21" s="78"/>
      <c r="H21" s="83"/>
      <c r="I21" s="76"/>
      <c r="J21" s="76"/>
      <c r="K21" s="76"/>
      <c r="L21" s="76"/>
      <c r="M21" s="76"/>
      <c r="N21" s="76"/>
      <c r="O21" s="76"/>
      <c r="P21" s="76"/>
      <c r="Q21" s="76"/>
      <c r="R21" s="76"/>
      <c r="T21" s="76"/>
      <c r="U21" s="76"/>
      <c r="V21" s="76"/>
      <c r="W21" s="76"/>
      <c r="X21" s="76"/>
      <c r="Y21" s="76"/>
      <c r="Z21" s="76"/>
      <c r="AA21" s="76"/>
      <c r="AC21" s="76"/>
      <c r="AD21" s="76"/>
      <c r="AE21" s="76"/>
    </row>
    <row r="22" spans="1:46" s="76" customFormat="1" ht="15.75">
      <c r="A22" s="91"/>
      <c r="B22" s="91"/>
      <c r="C22" s="91"/>
      <c r="D22" s="91"/>
      <c r="E22" s="91"/>
      <c r="F22" s="91"/>
      <c r="G22" s="91"/>
      <c r="H22" s="91"/>
      <c r="I22" s="91"/>
      <c r="J22" s="91"/>
      <c r="K22" s="91"/>
      <c r="L22" s="91"/>
      <c r="M22" s="91"/>
      <c r="N22" s="91"/>
      <c r="O22" s="91"/>
      <c r="P22" s="91"/>
    </row>
    <row r="23" spans="1:46" ht="15.75">
      <c r="A23" s="79" t="s">
        <v>182</v>
      </c>
      <c r="B23" s="78"/>
      <c r="C23" s="78"/>
      <c r="D23" s="78"/>
      <c r="E23" s="78"/>
      <c r="F23" s="78"/>
      <c r="J23" s="76"/>
      <c r="K23" s="76"/>
      <c r="L23" s="76"/>
      <c r="M23" s="76"/>
      <c r="N23" s="76"/>
      <c r="O23" s="76"/>
      <c r="P23" s="76"/>
      <c r="Q23" s="76"/>
      <c r="R23" s="76"/>
      <c r="T23" s="76"/>
      <c r="U23" s="76"/>
      <c r="V23" s="76"/>
      <c r="W23" s="76"/>
      <c r="X23" s="76"/>
      <c r="Y23" s="76"/>
      <c r="Z23" s="76"/>
      <c r="AA23" s="76"/>
      <c r="AC23" s="76"/>
      <c r="AD23" s="76"/>
      <c r="AE23" s="76"/>
    </row>
    <row r="24" spans="1:46" s="76" customFormat="1" ht="15.75">
      <c r="A24" s="84"/>
      <c r="B24" s="75"/>
      <c r="C24" s="75"/>
      <c r="D24" s="75"/>
      <c r="E24" s="75"/>
      <c r="F24" s="75"/>
      <c r="G24" s="83"/>
      <c r="H24" s="83"/>
      <c r="I24" s="83"/>
    </row>
    <row r="25" spans="1:46" ht="15.75">
      <c r="A25" s="79" t="s">
        <v>183</v>
      </c>
      <c r="B25" s="78"/>
      <c r="C25" s="78"/>
      <c r="D25" s="78"/>
      <c r="E25" s="78"/>
      <c r="F25" s="78"/>
      <c r="J25" s="76"/>
      <c r="K25" s="76"/>
      <c r="L25" s="76"/>
      <c r="M25" s="76"/>
      <c r="N25" s="76"/>
      <c r="O25" s="76"/>
      <c r="Q25" s="76"/>
      <c r="S25" s="76"/>
      <c r="T25" s="76"/>
      <c r="U25" s="76"/>
      <c r="V25" s="76"/>
      <c r="W25" s="76"/>
      <c r="X25" s="76"/>
      <c r="Y25" s="76"/>
      <c r="Z25" s="76"/>
      <c r="AA25" s="76"/>
      <c r="AB25" s="76"/>
      <c r="AC25" s="76"/>
      <c r="AD25" s="76"/>
      <c r="AE25" s="76"/>
    </row>
    <row r="26" spans="1:46" s="76" customFormat="1" ht="15.75">
      <c r="A26" s="91"/>
      <c r="B26" s="91"/>
      <c r="C26" s="91"/>
      <c r="D26" s="91"/>
      <c r="E26" s="91"/>
      <c r="F26" s="91"/>
      <c r="G26" s="91"/>
      <c r="H26" s="91"/>
      <c r="I26" s="91"/>
      <c r="J26" s="91"/>
      <c r="K26" s="91"/>
      <c r="L26" s="91"/>
      <c r="M26" s="91"/>
      <c r="N26" s="91"/>
      <c r="O26" s="91"/>
      <c r="P26" s="91"/>
    </row>
    <row r="27" spans="1:46" s="76" customFormat="1" ht="15.75">
      <c r="A27" s="84" t="s">
        <v>184</v>
      </c>
      <c r="B27" s="75"/>
      <c r="C27" s="75"/>
      <c r="D27" s="75"/>
      <c r="E27" s="75"/>
      <c r="F27" s="75"/>
      <c r="G27" s="83"/>
      <c r="H27" s="83"/>
      <c r="I27" s="83"/>
    </row>
    <row r="28" spans="1:46" s="76" customFormat="1" ht="15.75">
      <c r="A28" s="91"/>
      <c r="B28" s="94"/>
      <c r="C28" s="91"/>
      <c r="D28" s="91"/>
      <c r="E28" s="91"/>
      <c r="F28" s="91"/>
      <c r="G28" s="91"/>
      <c r="H28" s="91"/>
      <c r="I28" s="91"/>
      <c r="J28" s="91"/>
      <c r="K28" s="91"/>
      <c r="L28" s="91"/>
      <c r="M28" s="91"/>
      <c r="N28" s="91"/>
      <c r="O28" s="91"/>
      <c r="P28" s="91"/>
      <c r="Q28" s="91"/>
      <c r="R28" s="91"/>
      <c r="S28" s="91"/>
    </row>
    <row r="29" spans="1:46" ht="15.75">
      <c r="A29" s="80" t="s">
        <v>185</v>
      </c>
      <c r="B29" s="78"/>
      <c r="C29" s="78"/>
      <c r="D29" s="78"/>
      <c r="E29" s="78"/>
      <c r="F29" s="78"/>
      <c r="J29" s="76"/>
      <c r="K29" s="76"/>
      <c r="L29" s="76"/>
      <c r="M29" s="76"/>
      <c r="N29" s="76"/>
      <c r="O29" s="76"/>
      <c r="P29" s="76"/>
      <c r="Q29" s="76"/>
      <c r="R29" s="76"/>
      <c r="T29" s="76"/>
      <c r="U29" s="76"/>
      <c r="V29" s="76"/>
      <c r="W29" s="76"/>
      <c r="X29" s="76"/>
      <c r="Y29" s="76"/>
      <c r="Z29" s="76"/>
      <c r="AA29" s="76"/>
      <c r="AC29" s="76"/>
      <c r="AD29" s="76"/>
      <c r="AE29" s="76"/>
    </row>
    <row r="30" spans="1:46" s="76" customFormat="1"/>
    <row r="31" spans="1:46" ht="15.75">
      <c r="A31" s="79" t="s">
        <v>186</v>
      </c>
      <c r="B31" s="76"/>
      <c r="C31" s="76"/>
      <c r="D31" s="76"/>
      <c r="E31" s="76"/>
      <c r="F31" s="76"/>
      <c r="G31" s="76"/>
      <c r="H31" s="76"/>
      <c r="I31" s="76"/>
      <c r="J31" s="76"/>
      <c r="K31" s="76"/>
      <c r="L31" s="76"/>
      <c r="M31" s="76"/>
      <c r="N31" s="76"/>
      <c r="O31" s="76"/>
      <c r="P31" s="76"/>
      <c r="Q31" s="76"/>
      <c r="R31" s="76"/>
      <c r="S31" s="76"/>
      <c r="T31" s="76"/>
      <c r="U31" s="76"/>
      <c r="V31" s="76"/>
      <c r="W31" s="76"/>
      <c r="X31" s="76"/>
      <c r="Y31" s="76"/>
      <c r="Z31" s="76"/>
      <c r="AA31" s="76"/>
      <c r="AB31" s="76"/>
      <c r="AC31" s="76"/>
      <c r="AD31" s="76"/>
      <c r="AE31" s="76"/>
      <c r="AF31" s="76"/>
      <c r="AG31" s="76"/>
      <c r="AH31" s="76"/>
      <c r="AI31" s="76"/>
      <c r="AJ31" s="76"/>
      <c r="AK31" s="76"/>
      <c r="AL31" s="76"/>
      <c r="AM31" s="76"/>
      <c r="AN31" s="76"/>
      <c r="AO31" s="76"/>
      <c r="AP31" s="76"/>
      <c r="AQ31" s="76"/>
      <c r="AR31" s="76"/>
      <c r="AS31" s="76"/>
      <c r="AT31" s="76"/>
    </row>
    <row r="32" spans="1:46" s="76" customFormat="1" ht="14.25" customHeight="1">
      <c r="A32" s="473" t="s">
        <v>72</v>
      </c>
      <c r="B32" s="473"/>
      <c r="C32" s="473"/>
      <c r="D32" s="473"/>
      <c r="E32" s="473"/>
      <c r="F32" s="473"/>
      <c r="G32" s="473"/>
      <c r="H32" s="473"/>
      <c r="I32" s="473"/>
      <c r="J32" s="473"/>
      <c r="K32" s="473"/>
      <c r="L32" s="473"/>
      <c r="M32" s="473"/>
      <c r="N32" s="473"/>
      <c r="O32" s="473"/>
    </row>
    <row r="33" spans="1:46" s="82" customFormat="1" ht="15.75">
      <c r="A33" s="79" t="s">
        <v>162</v>
      </c>
      <c r="P33" s="83"/>
      <c r="Q33" s="83"/>
      <c r="R33" s="83"/>
      <c r="S33" s="83"/>
      <c r="T33" s="83"/>
      <c r="U33" s="83"/>
      <c r="V33" s="83"/>
      <c r="W33" s="83"/>
      <c r="X33" s="83"/>
      <c r="Y33" s="83"/>
      <c r="Z33" s="83"/>
      <c r="AA33" s="83"/>
      <c r="AB33" s="83"/>
      <c r="AC33" s="83"/>
      <c r="AD33" s="83"/>
      <c r="AE33" s="83"/>
      <c r="AF33" s="83"/>
      <c r="AG33" s="83"/>
      <c r="AH33" s="83"/>
      <c r="AI33" s="83"/>
      <c r="AJ33" s="83"/>
      <c r="AK33" s="83"/>
      <c r="AL33" s="83"/>
      <c r="AM33" s="83"/>
      <c r="AN33" s="83"/>
      <c r="AO33" s="83"/>
      <c r="AP33" s="83"/>
      <c r="AQ33" s="83"/>
      <c r="AR33" s="83"/>
      <c r="AS33" s="83"/>
      <c r="AT33" s="83"/>
    </row>
    <row r="34" spans="1:46" ht="15.75">
      <c r="A34" s="91"/>
      <c r="B34" s="91"/>
      <c r="C34" s="91"/>
      <c r="D34" s="91"/>
      <c r="E34" s="91"/>
      <c r="F34" s="91"/>
      <c r="G34" s="91"/>
      <c r="H34" s="91"/>
      <c r="I34" s="91"/>
      <c r="J34" s="91"/>
      <c r="K34" s="91"/>
      <c r="L34" s="91"/>
      <c r="M34" s="91"/>
      <c r="N34" s="91"/>
      <c r="O34" s="91"/>
      <c r="P34" s="91"/>
      <c r="Q34" s="76"/>
      <c r="R34" s="76"/>
      <c r="S34" s="76"/>
      <c r="T34" s="76"/>
      <c r="U34" s="76"/>
      <c r="V34" s="76"/>
      <c r="W34" s="76"/>
      <c r="X34" s="76"/>
      <c r="Y34" s="76"/>
      <c r="Z34" s="76"/>
      <c r="AA34" s="76"/>
      <c r="AB34" s="76"/>
      <c r="AC34" s="76"/>
      <c r="AD34" s="76"/>
      <c r="AE34" s="76"/>
      <c r="AF34" s="76"/>
      <c r="AG34" s="76"/>
      <c r="AH34" s="76"/>
      <c r="AI34" s="76"/>
      <c r="AJ34" s="76"/>
      <c r="AK34" s="76"/>
      <c r="AL34" s="76"/>
      <c r="AM34" s="76"/>
      <c r="AN34" s="76"/>
      <c r="AO34" s="76"/>
      <c r="AP34" s="76"/>
      <c r="AQ34" s="76"/>
      <c r="AR34" s="76"/>
      <c r="AS34" s="76"/>
      <c r="AT34" s="76"/>
    </row>
    <row r="35" spans="1:46" s="82" customFormat="1" ht="15.75">
      <c r="A35" s="81" t="s">
        <v>163</v>
      </c>
      <c r="M35" s="83"/>
      <c r="N35" s="83"/>
      <c r="O35" s="83"/>
      <c r="Q35" s="83"/>
      <c r="R35" s="83"/>
      <c r="S35" s="83"/>
      <c r="T35" s="83"/>
      <c r="U35" s="83"/>
      <c r="V35" s="83"/>
      <c r="W35" s="83"/>
      <c r="X35" s="83"/>
      <c r="Y35" s="83"/>
      <c r="Z35" s="83"/>
      <c r="AA35" s="83"/>
      <c r="AB35" s="83"/>
      <c r="AC35" s="83"/>
      <c r="AD35" s="83"/>
      <c r="AE35" s="83"/>
      <c r="AF35" s="83"/>
      <c r="AG35" s="83"/>
      <c r="AH35" s="83"/>
      <c r="AI35" s="83"/>
      <c r="AJ35" s="83"/>
      <c r="AK35" s="83"/>
      <c r="AL35" s="83"/>
      <c r="AM35" s="83"/>
      <c r="AN35" s="83"/>
      <c r="AO35" s="83"/>
      <c r="AP35" s="83"/>
      <c r="AQ35" s="83"/>
      <c r="AR35" s="83"/>
      <c r="AS35" s="83"/>
      <c r="AT35" s="83"/>
    </row>
    <row r="36" spans="1:46" ht="15.75">
      <c r="A36" s="91"/>
      <c r="B36" s="91"/>
      <c r="C36" s="91"/>
      <c r="D36" s="91"/>
      <c r="E36" s="91"/>
      <c r="F36" s="91"/>
      <c r="G36" s="91"/>
      <c r="H36" s="91"/>
      <c r="I36" s="91"/>
      <c r="J36" s="91"/>
      <c r="K36" s="91"/>
      <c r="L36" s="91"/>
      <c r="M36" s="91"/>
      <c r="N36" s="91"/>
      <c r="O36" s="91"/>
      <c r="P36" s="91"/>
      <c r="Q36" s="76"/>
      <c r="R36" s="76"/>
      <c r="S36" s="76"/>
      <c r="T36" s="76"/>
      <c r="U36" s="76"/>
      <c r="V36" s="76"/>
      <c r="W36" s="76"/>
      <c r="X36" s="76"/>
      <c r="Y36" s="76"/>
      <c r="Z36" s="76"/>
      <c r="AA36" s="76"/>
      <c r="AB36" s="76"/>
      <c r="AC36" s="76"/>
      <c r="AD36" s="76"/>
      <c r="AE36" s="76"/>
      <c r="AF36" s="76"/>
      <c r="AG36" s="76"/>
      <c r="AH36" s="76"/>
      <c r="AI36" s="76"/>
      <c r="AJ36" s="76"/>
      <c r="AK36" s="76"/>
      <c r="AL36" s="76"/>
      <c r="AM36" s="76"/>
      <c r="AN36" s="76"/>
      <c r="AO36" s="76"/>
      <c r="AP36" s="76"/>
      <c r="AQ36" s="76"/>
      <c r="AR36" s="76"/>
      <c r="AS36" s="76"/>
      <c r="AT36" s="76"/>
    </row>
    <row r="37" spans="1:46" s="82" customFormat="1" ht="15.75">
      <c r="A37" s="84" t="s">
        <v>164</v>
      </c>
      <c r="B37" s="83"/>
      <c r="C37" s="83"/>
      <c r="D37" s="83"/>
      <c r="E37" s="83"/>
      <c r="F37" s="83"/>
      <c r="G37" s="83"/>
      <c r="H37" s="83"/>
      <c r="I37" s="83"/>
      <c r="J37" s="83"/>
      <c r="K37" s="83"/>
      <c r="L37" s="83"/>
      <c r="M37" s="83"/>
      <c r="N37" s="83"/>
      <c r="O37" s="83"/>
      <c r="P37" s="83"/>
      <c r="Q37" s="83"/>
      <c r="R37" s="83"/>
      <c r="S37" s="83"/>
      <c r="T37" s="83"/>
      <c r="U37" s="83"/>
      <c r="V37" s="83"/>
      <c r="W37" s="83"/>
      <c r="X37" s="83"/>
      <c r="Y37" s="83"/>
      <c r="Z37" s="83"/>
      <c r="AA37" s="83"/>
      <c r="AB37" s="83"/>
      <c r="AC37" s="83"/>
      <c r="AD37" s="83"/>
      <c r="AE37" s="83"/>
      <c r="AF37" s="83"/>
      <c r="AG37" s="83"/>
      <c r="AH37" s="83"/>
      <c r="AI37" s="83"/>
      <c r="AJ37" s="83"/>
      <c r="AK37" s="83"/>
      <c r="AL37" s="83"/>
      <c r="AM37" s="83"/>
      <c r="AN37" s="83"/>
      <c r="AO37" s="83"/>
      <c r="AP37" s="83"/>
      <c r="AQ37" s="83"/>
      <c r="AR37" s="83"/>
      <c r="AS37" s="83"/>
      <c r="AT37" s="83"/>
    </row>
    <row r="38" spans="1:46" s="76" customFormat="1" ht="15.75">
      <c r="A38" s="91"/>
      <c r="B38" s="91"/>
      <c r="C38" s="91"/>
      <c r="D38" s="91"/>
      <c r="E38" s="91"/>
      <c r="F38" s="91"/>
      <c r="G38" s="91"/>
      <c r="H38" s="91"/>
      <c r="I38" s="91"/>
      <c r="J38" s="91"/>
      <c r="K38" s="91"/>
      <c r="L38" s="91"/>
      <c r="M38" s="91"/>
      <c r="N38" s="91"/>
      <c r="O38" s="91"/>
      <c r="P38" s="91"/>
    </row>
    <row r="39" spans="1:46" s="82" customFormat="1" ht="15.75">
      <c r="A39" s="84" t="s">
        <v>165</v>
      </c>
      <c r="B39" s="83"/>
      <c r="C39" s="83"/>
      <c r="D39" s="83"/>
      <c r="E39" s="83"/>
      <c r="F39" s="83"/>
      <c r="G39" s="83"/>
      <c r="H39" s="83"/>
      <c r="I39" s="83"/>
      <c r="J39" s="83"/>
      <c r="K39" s="83"/>
      <c r="L39" s="83"/>
      <c r="M39" s="83"/>
      <c r="N39" s="83"/>
      <c r="O39" s="83"/>
      <c r="P39" s="83"/>
      <c r="Q39" s="83"/>
      <c r="R39" s="83"/>
      <c r="S39" s="83"/>
      <c r="T39" s="83"/>
      <c r="U39" s="83"/>
      <c r="V39" s="83"/>
      <c r="W39" s="83"/>
      <c r="X39" s="83"/>
      <c r="Y39" s="83"/>
      <c r="Z39" s="83"/>
      <c r="AA39" s="83"/>
      <c r="AB39" s="83"/>
      <c r="AC39" s="83"/>
      <c r="AD39" s="83"/>
      <c r="AE39" s="83"/>
      <c r="AF39" s="83"/>
      <c r="AG39" s="83"/>
      <c r="AH39" s="83"/>
      <c r="AI39" s="83"/>
      <c r="AJ39" s="83"/>
      <c r="AK39" s="83"/>
      <c r="AL39" s="83"/>
      <c r="AM39" s="83"/>
      <c r="AN39" s="83"/>
      <c r="AO39" s="83"/>
      <c r="AP39" s="83"/>
      <c r="AQ39" s="83"/>
      <c r="AR39" s="83"/>
      <c r="AS39" s="83"/>
      <c r="AT39" s="83"/>
    </row>
    <row r="40" spans="1:46" s="76" customFormat="1" ht="15.75">
      <c r="A40" s="91"/>
      <c r="B40" s="91"/>
      <c r="C40" s="91"/>
      <c r="D40" s="91"/>
      <c r="E40" s="91"/>
      <c r="F40" s="91"/>
      <c r="G40" s="91"/>
      <c r="H40" s="91"/>
      <c r="I40" s="91"/>
      <c r="J40" s="91"/>
      <c r="K40" s="91"/>
      <c r="L40" s="91"/>
      <c r="M40" s="91"/>
      <c r="N40" s="91"/>
      <c r="O40" s="91"/>
      <c r="P40" s="91"/>
    </row>
    <row r="41" spans="1:46" s="82" customFormat="1" ht="15.75">
      <c r="A41" s="84" t="s">
        <v>166</v>
      </c>
      <c r="B41" s="83"/>
      <c r="C41" s="83"/>
      <c r="D41" s="83"/>
      <c r="E41" s="83"/>
      <c r="F41" s="83"/>
      <c r="G41" s="83"/>
      <c r="H41" s="83"/>
      <c r="I41" s="83"/>
      <c r="J41" s="83"/>
      <c r="K41" s="83"/>
      <c r="L41" s="83"/>
      <c r="M41" s="83"/>
      <c r="N41" s="83"/>
      <c r="O41" s="83"/>
      <c r="P41" s="83"/>
      <c r="Q41" s="83"/>
      <c r="R41" s="83"/>
      <c r="S41" s="83"/>
      <c r="T41" s="83"/>
      <c r="U41" s="83"/>
      <c r="V41" s="83"/>
      <c r="W41" s="83"/>
      <c r="X41" s="83"/>
      <c r="Y41" s="83"/>
      <c r="Z41" s="83"/>
      <c r="AA41" s="83"/>
      <c r="AB41" s="83"/>
      <c r="AC41" s="83"/>
      <c r="AD41" s="83"/>
      <c r="AE41" s="83"/>
      <c r="AF41" s="83"/>
      <c r="AG41" s="83"/>
      <c r="AH41" s="83"/>
      <c r="AI41" s="83"/>
      <c r="AJ41" s="83"/>
      <c r="AK41" s="83"/>
      <c r="AL41" s="83"/>
      <c r="AM41" s="83"/>
      <c r="AN41" s="83"/>
      <c r="AO41" s="83"/>
      <c r="AP41" s="83"/>
      <c r="AQ41" s="83"/>
      <c r="AR41" s="83"/>
      <c r="AS41" s="83"/>
      <c r="AT41" s="83"/>
    </row>
    <row r="42" spans="1:46" s="76" customFormat="1" ht="15.75">
      <c r="A42" s="91"/>
      <c r="B42" s="91"/>
      <c r="C42" s="91"/>
      <c r="D42" s="91"/>
      <c r="E42" s="91"/>
      <c r="F42" s="91"/>
      <c r="G42" s="91"/>
      <c r="H42" s="91"/>
      <c r="I42" s="91"/>
      <c r="J42" s="91"/>
      <c r="K42" s="91"/>
      <c r="L42" s="91"/>
      <c r="M42" s="91"/>
      <c r="N42" s="91"/>
      <c r="O42" s="91"/>
      <c r="P42" s="91"/>
    </row>
    <row r="43" spans="1:46" s="82" customFormat="1" ht="15.75">
      <c r="A43" s="84" t="s">
        <v>167</v>
      </c>
      <c r="B43" s="83"/>
      <c r="C43" s="83"/>
      <c r="D43" s="83"/>
      <c r="E43" s="83"/>
      <c r="F43" s="83"/>
      <c r="G43" s="83"/>
      <c r="H43" s="83"/>
      <c r="I43" s="83"/>
      <c r="J43" s="83"/>
      <c r="K43" s="83"/>
      <c r="L43" s="83"/>
      <c r="M43" s="83"/>
      <c r="N43" s="83"/>
      <c r="O43" s="83"/>
      <c r="P43" s="83"/>
      <c r="Q43" s="83"/>
      <c r="R43" s="83"/>
      <c r="S43" s="83"/>
      <c r="T43" s="83"/>
      <c r="U43" s="83"/>
      <c r="V43" s="83"/>
      <c r="W43" s="83"/>
      <c r="X43" s="83"/>
      <c r="Y43" s="83"/>
      <c r="Z43" s="83"/>
      <c r="AA43" s="83"/>
      <c r="AB43" s="83"/>
      <c r="AC43" s="83"/>
      <c r="AD43" s="83"/>
      <c r="AE43" s="83"/>
      <c r="AF43" s="83"/>
      <c r="AG43" s="83"/>
      <c r="AH43" s="83"/>
      <c r="AI43" s="83"/>
      <c r="AJ43" s="83"/>
      <c r="AK43" s="83"/>
      <c r="AL43" s="83"/>
      <c r="AM43" s="83"/>
      <c r="AN43" s="83"/>
      <c r="AO43" s="83"/>
      <c r="AP43" s="83"/>
      <c r="AQ43" s="83"/>
      <c r="AR43" s="83"/>
      <c r="AS43" s="83"/>
      <c r="AT43" s="83"/>
    </row>
    <row r="44" spans="1:46" s="76" customFormat="1" ht="15.75">
      <c r="A44" s="91"/>
      <c r="B44" s="91"/>
      <c r="C44" s="91"/>
      <c r="D44" s="91"/>
      <c r="E44" s="91"/>
      <c r="F44" s="91"/>
      <c r="G44" s="91"/>
      <c r="H44" s="91"/>
      <c r="I44" s="91"/>
      <c r="J44" s="91"/>
      <c r="K44" s="91"/>
      <c r="L44" s="91"/>
      <c r="M44" s="91"/>
      <c r="N44" s="91"/>
      <c r="O44" s="91"/>
      <c r="P44" s="91"/>
    </row>
    <row r="45" spans="1:46" s="82" customFormat="1" ht="15.75">
      <c r="A45" s="84" t="s">
        <v>168</v>
      </c>
      <c r="B45" s="83"/>
      <c r="C45" s="83"/>
      <c r="D45" s="83"/>
      <c r="E45" s="83"/>
      <c r="F45" s="83"/>
      <c r="G45" s="83"/>
      <c r="H45" s="83"/>
      <c r="I45" s="83"/>
      <c r="J45" s="83"/>
      <c r="K45" s="83"/>
      <c r="L45" s="83"/>
      <c r="M45" s="83"/>
      <c r="N45" s="83"/>
      <c r="O45" s="83"/>
      <c r="P45" s="83"/>
      <c r="Q45" s="83"/>
      <c r="R45" s="83"/>
      <c r="S45" s="83"/>
      <c r="T45" s="83"/>
      <c r="U45" s="83"/>
      <c r="V45" s="83"/>
      <c r="W45" s="83"/>
      <c r="X45" s="83"/>
      <c r="Y45" s="83"/>
      <c r="Z45" s="83"/>
      <c r="AA45" s="83"/>
      <c r="AB45" s="83"/>
      <c r="AC45" s="83"/>
      <c r="AD45" s="83"/>
      <c r="AE45" s="83"/>
      <c r="AF45" s="83"/>
      <c r="AG45" s="83"/>
      <c r="AH45" s="83"/>
      <c r="AI45" s="83"/>
      <c r="AJ45" s="83"/>
      <c r="AK45" s="83"/>
      <c r="AL45" s="83"/>
      <c r="AM45" s="83"/>
      <c r="AN45" s="83"/>
      <c r="AO45" s="83"/>
      <c r="AP45" s="83"/>
      <c r="AQ45" s="83"/>
      <c r="AR45" s="83"/>
      <c r="AS45" s="83"/>
      <c r="AT45" s="83"/>
    </row>
    <row r="46" spans="1:46" s="76" customFormat="1" ht="15.75">
      <c r="A46" s="91"/>
      <c r="B46" s="91"/>
      <c r="C46" s="91"/>
      <c r="D46" s="91"/>
      <c r="E46" s="91"/>
      <c r="F46" s="91"/>
      <c r="G46" s="91"/>
      <c r="H46" s="91"/>
      <c r="I46" s="91"/>
      <c r="J46" s="91"/>
      <c r="K46" s="91"/>
      <c r="L46" s="91"/>
      <c r="M46" s="91"/>
      <c r="N46" s="91"/>
      <c r="O46" s="91"/>
      <c r="P46" s="91"/>
      <c r="Q46" s="91"/>
    </row>
    <row r="47" spans="1:46" s="82" customFormat="1" ht="15.75">
      <c r="A47" s="84" t="s">
        <v>169</v>
      </c>
      <c r="B47" s="83"/>
      <c r="C47" s="83"/>
      <c r="D47" s="83"/>
      <c r="E47" s="83"/>
      <c r="F47" s="83"/>
      <c r="G47" s="83"/>
      <c r="H47" s="83"/>
      <c r="I47" s="83"/>
      <c r="J47" s="83"/>
      <c r="K47" s="83"/>
      <c r="L47" s="83"/>
      <c r="M47" s="83"/>
      <c r="N47" s="83"/>
      <c r="O47" s="83"/>
      <c r="P47" s="83"/>
      <c r="Q47" s="83"/>
      <c r="R47" s="83"/>
      <c r="S47" s="83"/>
      <c r="T47" s="83"/>
      <c r="U47" s="83"/>
      <c r="V47" s="83"/>
      <c r="W47" s="83"/>
      <c r="X47" s="83"/>
      <c r="Y47" s="83"/>
      <c r="Z47" s="83"/>
      <c r="AA47" s="83"/>
      <c r="AB47" s="83"/>
      <c r="AC47" s="83"/>
      <c r="AD47" s="83"/>
      <c r="AE47" s="83"/>
      <c r="AF47" s="83"/>
      <c r="AG47" s="83"/>
      <c r="AH47" s="83"/>
      <c r="AI47" s="83"/>
      <c r="AJ47" s="83"/>
      <c r="AK47" s="83"/>
      <c r="AL47" s="83"/>
      <c r="AM47" s="83"/>
      <c r="AN47" s="83"/>
      <c r="AO47" s="83"/>
      <c r="AP47" s="83"/>
      <c r="AQ47" s="83"/>
      <c r="AR47" s="83"/>
      <c r="AS47" s="83"/>
      <c r="AT47" s="83"/>
    </row>
    <row r="48" spans="1:46" s="76" customFormat="1">
      <c r="A48" s="92"/>
      <c r="B48" s="92"/>
      <c r="C48" s="92"/>
      <c r="D48" s="92"/>
      <c r="E48" s="92"/>
      <c r="F48" s="92"/>
      <c r="G48" s="92"/>
      <c r="H48" s="92"/>
      <c r="I48" s="92"/>
      <c r="J48" s="92"/>
      <c r="K48" s="92"/>
      <c r="L48" s="92"/>
      <c r="M48" s="92"/>
      <c r="N48" s="92"/>
      <c r="O48" s="92"/>
    </row>
    <row r="49" spans="1:1" s="76" customFormat="1"/>
    <row r="50" spans="1:1" s="76" customFormat="1"/>
    <row r="51" spans="1:1" s="76" customFormat="1"/>
    <row r="52" spans="1:1" s="76" customFormat="1"/>
    <row r="53" spans="1:1" s="76" customFormat="1">
      <c r="A53" s="86"/>
    </row>
    <row r="54" spans="1:1" s="76" customFormat="1">
      <c r="A54" s="85"/>
    </row>
    <row r="55" spans="1:1" s="76" customFormat="1">
      <c r="A55" s="85"/>
    </row>
    <row r="56" spans="1:1" s="76" customFormat="1">
      <c r="A56" s="85"/>
    </row>
    <row r="57" spans="1:1" s="76" customFormat="1"/>
    <row r="58" spans="1:1" s="76" customFormat="1"/>
    <row r="59" spans="1:1" s="76" customFormat="1"/>
    <row r="60" spans="1:1" s="76" customFormat="1"/>
    <row r="61" spans="1:1" s="76" customFormat="1"/>
    <row r="62" spans="1:1" s="76" customFormat="1"/>
    <row r="63" spans="1:1" s="76" customFormat="1"/>
    <row r="64" spans="1:1" s="76" customFormat="1"/>
    <row r="65" s="76" customFormat="1"/>
    <row r="66" s="76" customFormat="1"/>
    <row r="67" s="76" customFormat="1"/>
    <row r="68" s="76" customFormat="1"/>
    <row r="69" s="76" customFormat="1"/>
    <row r="70" s="76" customFormat="1"/>
    <row r="71" s="76" customFormat="1"/>
    <row r="72" s="76" customFormat="1"/>
    <row r="73" s="76" customFormat="1"/>
    <row r="74" s="76" customFormat="1"/>
    <row r="75" s="76" customFormat="1"/>
    <row r="76" s="76" customFormat="1"/>
    <row r="77" s="76" customFormat="1"/>
    <row r="78" s="76" customFormat="1"/>
    <row r="79" s="76" customFormat="1"/>
    <row r="80" s="76" customFormat="1"/>
    <row r="81" s="76" customFormat="1"/>
    <row r="82" s="76" customFormat="1"/>
    <row r="83" s="76" customFormat="1"/>
    <row r="84" s="76" customFormat="1"/>
    <row r="85" s="76" customFormat="1"/>
    <row r="86" s="76" customFormat="1"/>
    <row r="87" s="76" customFormat="1"/>
    <row r="88" s="76" customFormat="1"/>
    <row r="89" s="76" customFormat="1"/>
    <row r="90" s="76" customFormat="1"/>
    <row r="91" s="76" customFormat="1"/>
    <row r="92" s="76" customFormat="1"/>
    <row r="93" s="76" customFormat="1"/>
    <row r="94" s="76" customFormat="1"/>
    <row r="95" s="76" customFormat="1"/>
    <row r="96" s="76" customFormat="1"/>
    <row r="97" s="76" customFormat="1"/>
    <row r="98" s="76" customFormat="1"/>
  </sheetData>
  <sheetProtection password="D9DA" sheet="1"/>
  <mergeCells count="2">
    <mergeCell ref="B4:N4"/>
    <mergeCell ref="A32:O32"/>
  </mergeCells>
  <phoneticPr fontId="11" type="noConversion"/>
  <pageMargins left="0.23622047244094491" right="0.23622047244094491" top="0.74803149606299213" bottom="0.74803149606299213" header="0.31496062992125984" footer="0.31496062992125984"/>
  <pageSetup paperSize="9" scale="80" fitToWidth="0" orientation="landscape" horizontalDpi="1200" verticalDpi="12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2">
    <pageSetUpPr fitToPage="1"/>
  </sheetPr>
  <dimension ref="A1:W2561"/>
  <sheetViews>
    <sheetView showGridLines="0" workbookViewId="0">
      <selection activeCell="N33" sqref="N33"/>
    </sheetView>
  </sheetViews>
  <sheetFormatPr baseColWidth="10" defaultColWidth="8.7265625" defaultRowHeight="13"/>
  <cols>
    <col min="1" max="1" width="34.40625" style="2" bestFit="1" customWidth="1"/>
    <col min="2" max="2" width="3.7265625" style="2" hidden="1" customWidth="1"/>
    <col min="3" max="3" width="20.7265625" style="2" customWidth="1"/>
    <col min="4" max="4" width="9.54296875" style="2" customWidth="1"/>
    <col min="5" max="5" width="9.40625" style="3" bestFit="1" customWidth="1"/>
    <col min="6" max="6" width="2.40625" style="4" customWidth="1"/>
    <col min="7" max="7" width="33.26953125" style="1" bestFit="1" customWidth="1"/>
    <col min="8" max="8" width="14.7265625" style="1" bestFit="1" customWidth="1"/>
    <col min="9" max="9" width="9.7265625" style="1" bestFit="1" customWidth="1"/>
    <col min="10" max="10" width="8.7265625" style="1" customWidth="1"/>
    <col min="11" max="11" width="2.54296875" style="1" customWidth="1"/>
    <col min="12" max="12" width="27.54296875" style="1" bestFit="1" customWidth="1"/>
    <col min="13" max="13" width="9.40625" style="1" customWidth="1"/>
    <col min="14" max="14" width="11.7265625" style="1" bestFit="1" customWidth="1"/>
    <col min="15" max="16" width="11.7265625" style="1" customWidth="1"/>
    <col min="17" max="17" width="12.40625" style="1" bestFit="1" customWidth="1"/>
    <col min="18" max="18" width="8.7265625" style="1" customWidth="1"/>
    <col min="19" max="19" width="7" style="1" customWidth="1"/>
    <col min="20" max="20" width="11.54296875" style="1" bestFit="1" customWidth="1"/>
    <col min="21" max="21" width="1.54296875" style="1" customWidth="1"/>
    <col min="22" max="22" width="10.40625" style="1" bestFit="1" customWidth="1"/>
    <col min="23" max="16384" width="8.7265625" style="1"/>
  </cols>
  <sheetData>
    <row r="1" spans="1:23" ht="19.5" customHeight="1" thickBot="1"/>
    <row r="2" spans="1:23" ht="27.75" customHeight="1" thickBot="1">
      <c r="A2" s="474" t="s">
        <v>194</v>
      </c>
      <c r="B2" s="475"/>
      <c r="C2" s="475"/>
      <c r="D2" s="475"/>
      <c r="E2" s="476"/>
      <c r="F2" s="1"/>
      <c r="G2" s="477" t="s">
        <v>4</v>
      </c>
      <c r="H2" s="478"/>
      <c r="I2" s="478"/>
      <c r="J2" s="479"/>
      <c r="L2" s="477" t="s">
        <v>17</v>
      </c>
      <c r="M2" s="478"/>
      <c r="N2" s="478"/>
      <c r="O2" s="478"/>
      <c r="P2" s="478"/>
      <c r="Q2" s="478"/>
      <c r="R2" s="479"/>
      <c r="T2" s="22" t="s">
        <v>70</v>
      </c>
      <c r="V2" s="29" t="s">
        <v>92</v>
      </c>
    </row>
    <row r="3" spans="1:23" ht="13.75" thickTop="1">
      <c r="A3" s="103" t="s">
        <v>188</v>
      </c>
      <c r="B3" s="103"/>
      <c r="C3" s="103" t="s">
        <v>125</v>
      </c>
      <c r="D3" s="103" t="s">
        <v>126</v>
      </c>
      <c r="E3" s="312" t="s">
        <v>127</v>
      </c>
      <c r="F3" s="1"/>
      <c r="G3" s="314" t="s">
        <v>147</v>
      </c>
      <c r="H3" s="315" t="s">
        <v>62</v>
      </c>
      <c r="I3" s="315" t="s">
        <v>16</v>
      </c>
      <c r="J3" s="315" t="s">
        <v>146</v>
      </c>
      <c r="L3" s="480" t="s">
        <v>20</v>
      </c>
      <c r="M3" s="480" t="s">
        <v>18</v>
      </c>
      <c r="N3" s="480"/>
      <c r="O3" s="482" t="s">
        <v>103</v>
      </c>
      <c r="P3" s="483"/>
      <c r="Q3" s="480" t="s">
        <v>19</v>
      </c>
      <c r="R3" s="480"/>
      <c r="T3" s="21" t="s">
        <v>68</v>
      </c>
      <c r="V3" s="21" t="s">
        <v>93</v>
      </c>
    </row>
    <row r="4" spans="1:23">
      <c r="A4" s="34" t="str">
        <f>"01- Niveau chercheurs "&amp;C4</f>
        <v>01- Niveau chercheurs &gt;= 20 ans d'expérience</v>
      </c>
      <c r="B4" s="101"/>
      <c r="C4" s="102" t="s">
        <v>117</v>
      </c>
      <c r="D4" s="104">
        <v>4668.21</v>
      </c>
      <c r="E4" s="402">
        <f>D4</f>
        <v>4668.21</v>
      </c>
      <c r="F4" s="1"/>
      <c r="G4" s="12" t="s">
        <v>44</v>
      </c>
      <c r="H4" s="39"/>
      <c r="I4" s="40">
        <v>59.073399999999999</v>
      </c>
      <c r="J4" s="41">
        <v>45108</v>
      </c>
      <c r="L4" s="481"/>
      <c r="M4" s="70" t="s">
        <v>2</v>
      </c>
      <c r="N4" s="38" t="s">
        <v>3</v>
      </c>
      <c r="O4" s="38" t="s">
        <v>2</v>
      </c>
      <c r="P4" s="69" t="s">
        <v>3</v>
      </c>
      <c r="Q4" s="38" t="s">
        <v>2</v>
      </c>
      <c r="R4" s="38" t="s">
        <v>3</v>
      </c>
      <c r="T4" s="21" t="s">
        <v>69</v>
      </c>
      <c r="V4" s="21" t="s">
        <v>94</v>
      </c>
    </row>
    <row r="5" spans="1:23">
      <c r="A5" s="33" t="str">
        <f>"02- Niveau chercheurs "&amp;C5</f>
        <v>02- Niveau chercheurs &gt;= 15 et &lt; 20 ans d'expérience</v>
      </c>
      <c r="B5" s="30"/>
      <c r="C5" s="31" t="s">
        <v>118</v>
      </c>
      <c r="D5" s="104">
        <v>4651.78</v>
      </c>
      <c r="E5" s="403">
        <f t="shared" ref="E5:E39" si="0">D5</f>
        <v>4651.78</v>
      </c>
      <c r="F5" s="1"/>
      <c r="G5" s="10" t="s">
        <v>6</v>
      </c>
      <c r="H5" s="39"/>
      <c r="I5" s="42">
        <v>4005</v>
      </c>
      <c r="J5" s="41">
        <v>46023</v>
      </c>
      <c r="L5" s="6" t="s">
        <v>21</v>
      </c>
      <c r="M5" s="71">
        <v>6.8000000000000005E-2</v>
      </c>
      <c r="N5" s="66"/>
      <c r="O5" s="66">
        <v>6.8000000000000005E-2</v>
      </c>
      <c r="P5" s="60"/>
      <c r="Q5" s="66">
        <v>6.8000000000000005E-2</v>
      </c>
      <c r="R5" s="44"/>
    </row>
    <row r="6" spans="1:23">
      <c r="A6" s="33" t="str">
        <f>"03- Niveau chercheurs "&amp;C6</f>
        <v>03- Niveau chercheurs &gt;= 10 et &lt; 15 ans d'expérience</v>
      </c>
      <c r="B6" s="30"/>
      <c r="C6" s="31" t="s">
        <v>119</v>
      </c>
      <c r="D6" s="104">
        <v>4567.96</v>
      </c>
      <c r="E6" s="403">
        <f t="shared" si="0"/>
        <v>4567.96</v>
      </c>
      <c r="F6" s="1"/>
      <c r="G6" s="10" t="s">
        <v>7</v>
      </c>
      <c r="H6" s="43">
        <v>366</v>
      </c>
      <c r="I6" s="42">
        <f>ROUNDDOWN((H6*Valeurindice)/12,2)</f>
        <v>1801.73</v>
      </c>
      <c r="J6" s="41">
        <v>45292</v>
      </c>
      <c r="L6" s="7" t="s">
        <v>22</v>
      </c>
      <c r="M6" s="72">
        <v>5.0000000000000001E-3</v>
      </c>
      <c r="N6" s="67"/>
      <c r="O6" s="67">
        <v>5.0000000000000001E-3</v>
      </c>
      <c r="P6" s="61"/>
      <c r="Q6" s="67">
        <v>5.0000000000000001E-3</v>
      </c>
      <c r="R6" s="46"/>
    </row>
    <row r="7" spans="1:23">
      <c r="A7" s="33" t="str">
        <f>"04- Niveau chercheurs "&amp;C7</f>
        <v>04- Niveau chercheurs &gt;= 7 et &lt; 10 ans d'expérience</v>
      </c>
      <c r="B7" s="30"/>
      <c r="C7" s="31" t="s">
        <v>120</v>
      </c>
      <c r="D7" s="104">
        <v>4395.6499999999996</v>
      </c>
      <c r="E7" s="403">
        <f t="shared" si="0"/>
        <v>4395.6499999999996</v>
      </c>
      <c r="F7" s="1"/>
      <c r="G7" s="10" t="s">
        <v>5</v>
      </c>
      <c r="H7" s="45">
        <v>366</v>
      </c>
      <c r="I7" s="42">
        <f>ROUNDDOWN(((H7*Valeurindice)*H47/12),2)</f>
        <v>54.05</v>
      </c>
      <c r="J7" s="41">
        <v>45292</v>
      </c>
      <c r="L7" s="7" t="s">
        <v>23</v>
      </c>
      <c r="M7" s="72">
        <v>2.4E-2</v>
      </c>
      <c r="N7" s="67"/>
      <c r="O7" s="67">
        <v>2.4E-2</v>
      </c>
      <c r="P7" s="61"/>
      <c r="Q7" s="67">
        <v>2.4E-2</v>
      </c>
      <c r="R7" s="46"/>
    </row>
    <row r="8" spans="1:23">
      <c r="A8" s="33" t="str">
        <f>"05- Niveau chercheurs "&amp;C8</f>
        <v>05- Niveau chercheurs &gt;= 2 et &lt; 7 ans d'expérience</v>
      </c>
      <c r="B8" s="30"/>
      <c r="C8" s="31" t="s">
        <v>121</v>
      </c>
      <c r="D8" s="104">
        <v>4216.7</v>
      </c>
      <c r="E8" s="403">
        <f t="shared" si="0"/>
        <v>4216.7</v>
      </c>
      <c r="F8" s="1"/>
      <c r="G8" s="10" t="str">
        <f>"SMIC ("&amp;H8&amp;"€ horaire)"</f>
        <v>SMIC (12,02€ horaire)</v>
      </c>
      <c r="H8" s="40">
        <v>12.02</v>
      </c>
      <c r="I8" s="42">
        <v>1823.03</v>
      </c>
      <c r="J8" s="41">
        <v>46023</v>
      </c>
      <c r="L8" s="7" t="s">
        <v>24</v>
      </c>
      <c r="M8" s="72"/>
      <c r="N8" s="67">
        <v>3.0000000000000001E-3</v>
      </c>
      <c r="O8" s="67"/>
      <c r="P8" s="46">
        <v>3.0000000000000001E-3</v>
      </c>
      <c r="Q8" s="67"/>
      <c r="R8" s="46">
        <v>3.0000000000000001E-3</v>
      </c>
      <c r="V8" s="4"/>
    </row>
    <row r="9" spans="1:23">
      <c r="A9" s="33" t="str">
        <f>"06- Niveau chercheurs "&amp;C9</f>
        <v>06- Niveau chercheurs &lt; 2 ans d'expérience</v>
      </c>
      <c r="B9" s="30"/>
      <c r="C9" s="31" t="s">
        <v>122</v>
      </c>
      <c r="D9" s="105">
        <v>3041.58</v>
      </c>
      <c r="E9" s="404">
        <v>3467.33</v>
      </c>
      <c r="F9" s="1"/>
      <c r="G9" s="10" t="s">
        <v>108</v>
      </c>
      <c r="H9" s="39"/>
      <c r="I9" s="42">
        <v>635.71</v>
      </c>
      <c r="J9" s="41">
        <v>45383</v>
      </c>
      <c r="L9" s="123" t="s">
        <v>0</v>
      </c>
      <c r="M9" s="125">
        <v>0</v>
      </c>
      <c r="N9" s="126"/>
      <c r="O9" s="126">
        <v>0</v>
      </c>
      <c r="P9" s="127"/>
      <c r="Q9" s="126">
        <v>0</v>
      </c>
      <c r="R9" s="124"/>
      <c r="V9" s="4"/>
    </row>
    <row r="10" spans="1:23">
      <c r="A10" s="32" t="str">
        <f>"07- Niveau 1 – IR "&amp;B10&amp;" "&amp;C10</f>
        <v>07- Niveau 1 – IR  &gt;= 20 ans d'expérience</v>
      </c>
      <c r="B10" s="99"/>
      <c r="C10" s="100" t="s">
        <v>117</v>
      </c>
      <c r="D10" s="106">
        <v>4816.3100000000004</v>
      </c>
      <c r="E10" s="405">
        <f t="shared" si="0"/>
        <v>4816.3100000000004</v>
      </c>
      <c r="F10" s="1"/>
      <c r="G10" s="10" t="s">
        <v>8</v>
      </c>
      <c r="H10" s="43">
        <v>151.66999999999999</v>
      </c>
      <c r="I10" s="39"/>
      <c r="J10" s="41"/>
      <c r="L10" s="7" t="s">
        <v>25</v>
      </c>
      <c r="M10" s="128">
        <v>1.2999999999999999E-2</v>
      </c>
      <c r="N10" s="67">
        <v>0.13</v>
      </c>
      <c r="O10" s="126">
        <v>0</v>
      </c>
      <c r="P10" s="61">
        <v>0.13</v>
      </c>
      <c r="Q10" s="129">
        <v>1.2999999999999999E-2</v>
      </c>
      <c r="R10" s="46">
        <v>0.13</v>
      </c>
      <c r="V10" s="4"/>
    </row>
    <row r="11" spans="1:23">
      <c r="A11" s="32" t="str">
        <f>"08- Niveau 1 – IR "&amp;B11&amp;" "&amp;C11</f>
        <v>08- Niveau 1 – IR  &gt;= 15 et &lt; 20 ans d'expérience</v>
      </c>
      <c r="B11" s="99"/>
      <c r="C11" s="100" t="s">
        <v>118</v>
      </c>
      <c r="D11" s="106">
        <v>4698.6000000000004</v>
      </c>
      <c r="E11" s="405">
        <f t="shared" si="0"/>
        <v>4698.6000000000004</v>
      </c>
      <c r="F11" s="1"/>
      <c r="G11" s="10" t="s">
        <v>176</v>
      </c>
      <c r="H11" s="121">
        <v>0.04</v>
      </c>
      <c r="I11" s="39"/>
      <c r="J11" s="41">
        <v>45778</v>
      </c>
      <c r="L11" s="9" t="s">
        <v>55</v>
      </c>
      <c r="M11" s="72"/>
      <c r="N11" s="67">
        <v>5.0000000000000001E-3</v>
      </c>
      <c r="O11" s="67"/>
      <c r="P11" s="46">
        <v>5.0000000000000001E-3</v>
      </c>
      <c r="Q11" s="67"/>
      <c r="R11" s="46">
        <v>5.0000000000000001E-3</v>
      </c>
      <c r="V11" s="4"/>
    </row>
    <row r="12" spans="1:23">
      <c r="A12" s="32" t="str">
        <f>"09- Niveau 1 – IR "&amp;B12&amp;" "&amp;C12</f>
        <v>09- Niveau 1 – IR  &gt;= 10 et &lt; 15 ans d'expérience</v>
      </c>
      <c r="B12" s="99"/>
      <c r="C12" s="100" t="s">
        <v>119</v>
      </c>
      <c r="D12" s="106">
        <v>4267.3900000000003</v>
      </c>
      <c r="E12" s="405">
        <f t="shared" si="0"/>
        <v>4267.3900000000003</v>
      </c>
      <c r="F12" s="1"/>
      <c r="G12" s="10"/>
      <c r="H12" s="95"/>
      <c r="I12" s="39"/>
      <c r="J12" s="41"/>
      <c r="L12" s="9" t="s">
        <v>56</v>
      </c>
      <c r="M12" s="72"/>
      <c r="N12" s="67">
        <v>5.0000000000000001E-3</v>
      </c>
      <c r="O12" s="67"/>
      <c r="P12" s="46">
        <v>5.0000000000000001E-3</v>
      </c>
      <c r="Q12" s="67"/>
      <c r="R12" s="46">
        <v>5.0000000000000001E-3</v>
      </c>
      <c r="V12" s="4"/>
    </row>
    <row r="13" spans="1:23">
      <c r="A13" s="32" t="str">
        <f>"10- Niveau 1 – IR "&amp;B13&amp;" "&amp;C13</f>
        <v>10- Niveau 1 – IR  &gt;= 5 et &lt; 10 ans d'expérience</v>
      </c>
      <c r="B13" s="99"/>
      <c r="C13" s="100" t="s">
        <v>131</v>
      </c>
      <c r="D13" s="106">
        <v>3645.42</v>
      </c>
      <c r="E13" s="405">
        <f t="shared" si="0"/>
        <v>3645.42</v>
      </c>
      <c r="F13" s="1"/>
      <c r="G13" s="10" t="s">
        <v>153</v>
      </c>
      <c r="H13" s="90"/>
      <c r="I13" s="90">
        <v>104.04</v>
      </c>
      <c r="J13" s="41">
        <v>46023</v>
      </c>
      <c r="L13" s="7" t="s">
        <v>26</v>
      </c>
      <c r="M13" s="72">
        <v>4.0000000000000001E-3</v>
      </c>
      <c r="N13" s="67">
        <v>2.1100000000000001E-2</v>
      </c>
      <c r="O13" s="67">
        <v>4.0000000000000001E-3</v>
      </c>
      <c r="P13" s="46">
        <v>2.1100000000000001E-2</v>
      </c>
      <c r="Q13" s="67">
        <v>4.0000000000000001E-3</v>
      </c>
      <c r="R13" s="46">
        <v>2.1100000000000001E-2</v>
      </c>
      <c r="V13" s="4"/>
    </row>
    <row r="14" spans="1:23">
      <c r="A14" s="32" t="str">
        <f>"11- Niveau 1 – IR "&amp;B14&amp;" "&amp;C14</f>
        <v>11- Niveau 1 – IR  &gt;= 3 et &lt; 5 ans d'expérience</v>
      </c>
      <c r="B14" s="99"/>
      <c r="C14" s="100" t="s">
        <v>132</v>
      </c>
      <c r="D14" s="106">
        <v>3403.43</v>
      </c>
      <c r="E14" s="405">
        <f t="shared" si="0"/>
        <v>3403.43</v>
      </c>
      <c r="F14" s="1"/>
      <c r="G14" s="10" t="s">
        <v>154</v>
      </c>
      <c r="H14" s="90"/>
      <c r="I14" s="90">
        <f>ROUNDDOWN(I13/2,2)</f>
        <v>52.02</v>
      </c>
      <c r="J14" s="41">
        <f>J13</f>
        <v>46023</v>
      </c>
      <c r="L14" s="7" t="s">
        <v>27</v>
      </c>
      <c r="M14" s="72">
        <v>6.9000000000000006E-2</v>
      </c>
      <c r="N14" s="67">
        <v>8.5500000000000007E-2</v>
      </c>
      <c r="O14" s="67">
        <v>6.9000000000000006E-2</v>
      </c>
      <c r="P14" s="46">
        <v>8.5500000000000007E-2</v>
      </c>
      <c r="Q14" s="67">
        <v>6.9000000000000006E-2</v>
      </c>
      <c r="R14" s="46">
        <v>8.5500000000000007E-2</v>
      </c>
      <c r="V14" s="487"/>
      <c r="W14" s="487"/>
    </row>
    <row r="15" spans="1:23">
      <c r="A15" s="32" t="str">
        <f>"12- Niveau 1 – IR "&amp;B15&amp;" "&amp;C15</f>
        <v>12- Niveau 1 – IR  &lt; 3 ans d'expérience</v>
      </c>
      <c r="B15" s="99"/>
      <c r="C15" s="100" t="s">
        <v>133</v>
      </c>
      <c r="D15" s="106">
        <v>3143.64</v>
      </c>
      <c r="E15" s="405">
        <f t="shared" si="0"/>
        <v>3143.64</v>
      </c>
      <c r="F15" s="1"/>
      <c r="G15" s="10" t="s">
        <v>151</v>
      </c>
      <c r="H15" s="417">
        <v>0.1</v>
      </c>
      <c r="I15" s="39"/>
      <c r="J15" s="41">
        <v>44197</v>
      </c>
      <c r="L15" s="7" t="s">
        <v>28</v>
      </c>
      <c r="M15" s="72"/>
      <c r="N15" s="67">
        <v>0.01</v>
      </c>
      <c r="O15" s="67"/>
      <c r="P15" s="61">
        <v>0.01</v>
      </c>
      <c r="Q15" s="67"/>
      <c r="R15" s="46">
        <v>0.01</v>
      </c>
      <c r="S15" s="1" t="s">
        <v>107</v>
      </c>
      <c r="V15" s="488"/>
      <c r="W15" s="488"/>
    </row>
    <row r="16" spans="1:23">
      <c r="A16" s="33" t="str">
        <f>"13- Niveau 2 – IE "&amp;B16&amp;" "&amp;C16</f>
        <v>13- Niveau 2 – IE  &gt;= 20 ans d'expérience</v>
      </c>
      <c r="B16" s="30"/>
      <c r="C16" s="102" t="s">
        <v>117</v>
      </c>
      <c r="D16" s="104">
        <v>3706.14</v>
      </c>
      <c r="E16" s="403">
        <v>3706.14</v>
      </c>
      <c r="F16" s="1"/>
      <c r="G16" s="11" t="s">
        <v>189</v>
      </c>
      <c r="H16" s="423"/>
      <c r="I16" s="416">
        <v>150</v>
      </c>
      <c r="J16" s="311">
        <v>45474</v>
      </c>
      <c r="L16" s="7" t="s">
        <v>29</v>
      </c>
      <c r="M16" s="72"/>
      <c r="N16" s="67">
        <v>5.2499999999999998E-2</v>
      </c>
      <c r="O16" s="67"/>
      <c r="P16" s="46">
        <v>5.2499999999999998E-2</v>
      </c>
      <c r="Q16" s="67"/>
      <c r="R16" s="46">
        <v>5.2499999999999998E-2</v>
      </c>
      <c r="V16" s="488"/>
      <c r="W16" s="488"/>
    </row>
    <row r="17" spans="1:23">
      <c r="A17" s="33" t="str">
        <f>"14- Niveau 2 – IE "&amp;B17&amp;" "&amp;C17</f>
        <v>14- Niveau 2 – IE  &gt;= 15 et &lt; 20 ans d'expérience</v>
      </c>
      <c r="B17" s="30"/>
      <c r="C17" s="31" t="s">
        <v>118</v>
      </c>
      <c r="D17" s="104">
        <v>3483.11</v>
      </c>
      <c r="E17" s="403">
        <v>3483.11</v>
      </c>
      <c r="F17" s="1"/>
      <c r="G17" s="4"/>
      <c r="L17" s="7" t="s">
        <v>192</v>
      </c>
      <c r="M17" s="72"/>
      <c r="N17" s="67"/>
      <c r="O17" s="67"/>
      <c r="P17" s="61"/>
      <c r="Q17" s="67"/>
      <c r="R17" s="46"/>
      <c r="V17" s="192"/>
      <c r="W17" s="192"/>
    </row>
    <row r="18" spans="1:23">
      <c r="A18" s="33" t="str">
        <f>"15- Niveau 2 – IE "&amp;B18&amp;" "&amp;C18</f>
        <v>15- Niveau 2 – IE  &gt;= 10 et &lt; 15 ans d'expérience</v>
      </c>
      <c r="B18" s="30"/>
      <c r="C18" s="31" t="s">
        <v>119</v>
      </c>
      <c r="D18" s="104">
        <v>3215.96</v>
      </c>
      <c r="E18" s="403">
        <v>3215.96</v>
      </c>
      <c r="F18" s="1"/>
      <c r="L18" s="7" t="s">
        <v>193</v>
      </c>
      <c r="M18" s="72"/>
      <c r="N18" s="67"/>
      <c r="O18" s="67"/>
      <c r="P18" s="61"/>
      <c r="Q18" s="67"/>
      <c r="R18" s="46"/>
    </row>
    <row r="19" spans="1:23">
      <c r="A19" s="33" t="str">
        <f>"16- Niveau 2 – IE "&amp;B19&amp;" "&amp;C19</f>
        <v>16- Niveau 2 – IE  &gt;= 5 et &lt; 10 ans d'expérience</v>
      </c>
      <c r="B19" s="30"/>
      <c r="C19" s="31" t="s">
        <v>131</v>
      </c>
      <c r="D19" s="104">
        <v>2879.38</v>
      </c>
      <c r="E19" s="403">
        <v>2879.38</v>
      </c>
      <c r="L19" s="7" t="s">
        <v>155</v>
      </c>
      <c r="M19" s="72"/>
      <c r="N19" s="67">
        <v>1.7500000000000002E-2</v>
      </c>
      <c r="O19" s="67"/>
      <c r="P19" s="61">
        <v>3.2000000000000001E-2</v>
      </c>
      <c r="Q19" s="67"/>
      <c r="R19" s="46">
        <v>0.02</v>
      </c>
    </row>
    <row r="20" spans="1:23">
      <c r="A20" s="33" t="str">
        <f>"17- Niveau 2 – IE "&amp;B20&amp;" "&amp;C20</f>
        <v>17- Niveau 2 – IE  &gt;= 3 et &lt; 5 ans d'expérience</v>
      </c>
      <c r="B20" s="30"/>
      <c r="C20" s="31" t="s">
        <v>132</v>
      </c>
      <c r="D20" s="104">
        <v>2662.14</v>
      </c>
      <c r="E20" s="403">
        <v>2662.14</v>
      </c>
      <c r="L20" s="7" t="s">
        <v>30</v>
      </c>
      <c r="M20" s="72">
        <v>2.8400000000000002E-2</v>
      </c>
      <c r="N20" s="67">
        <v>4.2700000000000002E-2</v>
      </c>
      <c r="O20" s="67">
        <v>2.8400000000000002E-2</v>
      </c>
      <c r="P20" s="67">
        <v>4.2700000000000002E-2</v>
      </c>
      <c r="Q20" s="67">
        <v>2.8400000000000002E-2</v>
      </c>
      <c r="R20" s="67">
        <v>4.2700000000000002E-2</v>
      </c>
      <c r="V20" s="87" t="s">
        <v>112</v>
      </c>
    </row>
    <row r="21" spans="1:23" ht="13.5" customHeight="1">
      <c r="A21" s="33" t="str">
        <f>"18- Niveau 2 – IE "&amp;B21&amp;" "&amp;C21</f>
        <v>18- Niveau 2 – IE  &lt; 3 ans d'expérience</v>
      </c>
      <c r="B21" s="30"/>
      <c r="C21" s="31" t="s">
        <v>133</v>
      </c>
      <c r="D21" s="104">
        <v>2496.98</v>
      </c>
      <c r="E21" s="403">
        <v>2496.98</v>
      </c>
      <c r="L21" s="7" t="s">
        <v>31</v>
      </c>
      <c r="M21" s="72">
        <v>7.0599999999999996E-2</v>
      </c>
      <c r="N21" s="67">
        <v>0.1275</v>
      </c>
      <c r="O21" s="67">
        <v>7.0599999999999996E-2</v>
      </c>
      <c r="P21" s="46">
        <v>0.1275</v>
      </c>
      <c r="Q21" s="67">
        <v>7.0599999999999996E-2</v>
      </c>
      <c r="R21" s="46">
        <v>0.1275</v>
      </c>
      <c r="V21" s="21" t="s">
        <v>111</v>
      </c>
    </row>
    <row r="22" spans="1:23">
      <c r="A22" s="32" t="str">
        <f>"19- Niveau 3 – AI "&amp;B22&amp;" "&amp;C22</f>
        <v>19- Niveau 3 – AI  &gt;= 20 ans d'expérience</v>
      </c>
      <c r="B22" s="99"/>
      <c r="C22" s="100" t="s">
        <v>117</v>
      </c>
      <c r="D22" s="106">
        <v>3324.85</v>
      </c>
      <c r="E22" s="405">
        <f t="shared" si="0"/>
        <v>3324.85</v>
      </c>
      <c r="H22" s="306" t="s">
        <v>32</v>
      </c>
      <c r="I22" s="307"/>
      <c r="J22" s="308"/>
      <c r="L22" s="8" t="s">
        <v>38</v>
      </c>
      <c r="M22" s="73">
        <v>5.5E-2</v>
      </c>
      <c r="N22" s="68"/>
      <c r="O22" s="96">
        <v>5.5E-2</v>
      </c>
      <c r="P22" s="62"/>
      <c r="Q22" s="96">
        <v>5.5E-2</v>
      </c>
      <c r="R22" s="47"/>
      <c r="V22" s="21" t="s">
        <v>109</v>
      </c>
    </row>
    <row r="23" spans="1:23">
      <c r="A23" s="32" t="str">
        <f>"20- Niveau 3 – AI "&amp;B23&amp;" "&amp;C23</f>
        <v>20- Niveau 3 – AI  &gt;= 15 et &lt; 20 ans d'expérience</v>
      </c>
      <c r="B23" s="99"/>
      <c r="C23" s="100" t="s">
        <v>118</v>
      </c>
      <c r="D23" s="106">
        <v>2992.69</v>
      </c>
      <c r="E23" s="405">
        <f t="shared" si="0"/>
        <v>2992.69</v>
      </c>
      <c r="G23" s="135" t="s">
        <v>33</v>
      </c>
      <c r="H23" s="495" t="s">
        <v>113</v>
      </c>
      <c r="I23" s="496"/>
      <c r="J23" s="497"/>
      <c r="V23" s="21" t="s">
        <v>110</v>
      </c>
    </row>
    <row r="24" spans="1:23" ht="14.75" thickBot="1">
      <c r="A24" s="32" t="str">
        <f>"21- Niveau 3 – AI "&amp;B24&amp;" "&amp;C24</f>
        <v>21- Niveau 3 – AI  &gt;= 10 et &lt; 15 ans d'expérience</v>
      </c>
      <c r="B24" s="99"/>
      <c r="C24" s="100" t="s">
        <v>119</v>
      </c>
      <c r="D24" s="106">
        <v>2784.29</v>
      </c>
      <c r="E24" s="405">
        <f t="shared" si="0"/>
        <v>2784.29</v>
      </c>
      <c r="G24" s="134" t="s">
        <v>34</v>
      </c>
      <c r="H24" s="13">
        <v>1</v>
      </c>
      <c r="I24" s="495" t="s">
        <v>114</v>
      </c>
      <c r="J24" s="497"/>
      <c r="L24" s="477" t="s">
        <v>191</v>
      </c>
      <c r="M24" s="478"/>
      <c r="N24" s="478"/>
      <c r="O24" s="478"/>
      <c r="P24" s="478"/>
      <c r="Q24" s="479"/>
      <c r="R24" s="48"/>
    </row>
    <row r="25" spans="1:23" ht="13.75" thickTop="1">
      <c r="A25" s="32" t="str">
        <f>"22- Niveau 3 – AI "&amp;B25&amp;" "&amp;C25</f>
        <v>22- Niveau 3 – AI  &gt;= 5 et &lt; 10 ans d'expérience</v>
      </c>
      <c r="B25" s="99"/>
      <c r="C25" s="100" t="s">
        <v>131</v>
      </c>
      <c r="D25" s="106">
        <v>2575.9</v>
      </c>
      <c r="E25" s="405">
        <f t="shared" si="0"/>
        <v>2575.9</v>
      </c>
      <c r="G25" s="8" t="s">
        <v>35</v>
      </c>
      <c r="H25" s="13">
        <v>2</v>
      </c>
      <c r="I25" s="495" t="s">
        <v>115</v>
      </c>
      <c r="J25" s="497"/>
      <c r="L25" s="35" t="s">
        <v>61</v>
      </c>
      <c r="M25" s="36" t="s">
        <v>62</v>
      </c>
      <c r="N25" s="36" t="s">
        <v>63</v>
      </c>
      <c r="O25" s="63"/>
      <c r="P25" s="63"/>
      <c r="Q25" s="37" t="s">
        <v>64</v>
      </c>
      <c r="R25" s="48"/>
    </row>
    <row r="26" spans="1:23">
      <c r="A26" s="32" t="str">
        <f>"23- Niveau 3 – AI "&amp;B26&amp;" "&amp;C26</f>
        <v>23- Niveau 3 – AI  &gt;= 3 et &lt; 5 ans d'expérience</v>
      </c>
      <c r="B26" s="99"/>
      <c r="C26" s="100" t="s">
        <v>132</v>
      </c>
      <c r="D26" s="106">
        <v>2409.4299999999998</v>
      </c>
      <c r="E26" s="405">
        <f t="shared" si="0"/>
        <v>2409.4299999999998</v>
      </c>
      <c r="G26" s="8" t="s">
        <v>34</v>
      </c>
      <c r="H26" s="13"/>
      <c r="I26" s="309"/>
      <c r="J26" s="310"/>
      <c r="L26" s="14" t="str">
        <f>"Jusqu’à " &amp; Q26 &amp; " €"</f>
        <v>Jusqu’à 9147 €</v>
      </c>
      <c r="M26" s="49">
        <v>4.2500000000000003E-2</v>
      </c>
      <c r="N26" s="50">
        <v>762</v>
      </c>
      <c r="O26" s="64"/>
      <c r="P26" s="64"/>
      <c r="Q26" s="51">
        <v>9147</v>
      </c>
      <c r="R26" s="48"/>
    </row>
    <row r="27" spans="1:23">
      <c r="A27" s="32" t="str">
        <f>"24- Niveau 3 – AI "&amp;B27&amp;" "&amp;C27</f>
        <v>24- Niveau 3 – AI  &lt; 3 ans d'expérience</v>
      </c>
      <c r="B27" s="99"/>
      <c r="C27" s="100" t="s">
        <v>133</v>
      </c>
      <c r="D27" s="106">
        <v>2279.56</v>
      </c>
      <c r="E27" s="405">
        <f t="shared" si="0"/>
        <v>2279.56</v>
      </c>
      <c r="G27" s="21" t="s">
        <v>34</v>
      </c>
      <c r="H27" s="20" t="s">
        <v>140</v>
      </c>
      <c r="I27" s="4"/>
      <c r="L27" s="15" t="str">
        <f>"De "&amp;Q26 &amp; " € à " &amp; Q27 &amp; " €"</f>
        <v>De 9147 € à 18259 €</v>
      </c>
      <c r="M27" s="53">
        <v>8.5000000000000006E-2</v>
      </c>
      <c r="N27" s="54">
        <v>1522</v>
      </c>
      <c r="O27" s="65"/>
      <c r="P27" s="65"/>
      <c r="Q27" s="55">
        <v>18259</v>
      </c>
    </row>
    <row r="28" spans="1:23" ht="13.5" customHeight="1">
      <c r="A28" s="33" t="str">
        <f>"25- Niveau 4 – T "&amp;B28&amp;" "&amp;C28</f>
        <v>25- Niveau 4 – T  &gt;= 20 ans d'expérience</v>
      </c>
      <c r="B28" s="30"/>
      <c r="C28" s="102" t="s">
        <v>117</v>
      </c>
      <c r="D28" s="104">
        <v>2761.84</v>
      </c>
      <c r="E28" s="403">
        <f t="shared" si="0"/>
        <v>2761.84</v>
      </c>
      <c r="F28" s="1"/>
      <c r="G28" s="492" t="s">
        <v>187</v>
      </c>
      <c r="H28" s="13" t="s">
        <v>141</v>
      </c>
      <c r="I28" s="4"/>
      <c r="L28" s="15" t="str">
        <f>"Plus de "&amp;Q27&amp;" €"</f>
        <v>Plus de 18259 €</v>
      </c>
      <c r="M28" s="53">
        <v>0.13600000000000001</v>
      </c>
      <c r="N28" s="54" t="s">
        <v>65</v>
      </c>
      <c r="O28" s="65"/>
      <c r="P28" s="65"/>
      <c r="Q28" s="55" t="s">
        <v>65</v>
      </c>
    </row>
    <row r="29" spans="1:23">
      <c r="A29" s="33" t="str">
        <f>"26- Niveau 4 – T "&amp;B29&amp;" "&amp;C29</f>
        <v>26- Niveau 4 – T  &gt;= 15 et &lt; 20 ans d'expérience</v>
      </c>
      <c r="B29" s="30"/>
      <c r="C29" s="31" t="s">
        <v>118</v>
      </c>
      <c r="D29" s="104">
        <v>2558.39</v>
      </c>
      <c r="E29" s="403">
        <f t="shared" si="0"/>
        <v>2558.39</v>
      </c>
      <c r="F29" s="1"/>
      <c r="G29" s="493"/>
      <c r="H29" s="13" t="s">
        <v>58</v>
      </c>
      <c r="L29" s="16" t="s">
        <v>172</v>
      </c>
      <c r="M29" s="57">
        <v>0.96</v>
      </c>
      <c r="N29" s="489"/>
      <c r="O29" s="490"/>
      <c r="P29" s="490"/>
      <c r="Q29" s="491"/>
    </row>
    <row r="30" spans="1:23">
      <c r="A30" s="33" t="str">
        <f>"27- Niveau 4 – T "&amp;B30&amp;" "&amp;C30</f>
        <v>27- Niveau 4 – T  &gt;= 10 et &lt; 15 ans d'expérience</v>
      </c>
      <c r="B30" s="30"/>
      <c r="C30" s="31" t="s">
        <v>119</v>
      </c>
      <c r="D30" s="104">
        <v>2433.31</v>
      </c>
      <c r="E30" s="403">
        <f t="shared" si="0"/>
        <v>2433.31</v>
      </c>
      <c r="F30" s="1"/>
      <c r="G30" s="494"/>
      <c r="I30" s="48"/>
    </row>
    <row r="31" spans="1:23">
      <c r="A31" s="33" t="str">
        <f>"28- Niveau 4 – T "&amp;B31&amp;" "&amp;C31</f>
        <v>28- Niveau 4 – T  &gt;= 5 et &lt; 10 ans d'expérience</v>
      </c>
      <c r="B31" s="30"/>
      <c r="C31" s="31" t="s">
        <v>131</v>
      </c>
      <c r="D31" s="104">
        <v>2264.27</v>
      </c>
      <c r="E31" s="403">
        <f t="shared" si="0"/>
        <v>2264.27</v>
      </c>
      <c r="F31" s="1"/>
      <c r="I31" s="48"/>
      <c r="Q31" s="59"/>
    </row>
    <row r="32" spans="1:23">
      <c r="A32" s="33" t="str">
        <f>"29- Niveau 4 – T "&amp;B32&amp;" "&amp;C32</f>
        <v>29- Niveau 4 – T  &gt;= 3 et &lt; 5 ans d'expérience</v>
      </c>
      <c r="B32" s="30"/>
      <c r="C32" s="31" t="s">
        <v>132</v>
      </c>
      <c r="D32" s="104">
        <v>2180.9499999999998</v>
      </c>
      <c r="E32" s="403">
        <f t="shared" si="0"/>
        <v>2180.9499999999998</v>
      </c>
      <c r="F32" s="1"/>
      <c r="G32" s="426" t="s">
        <v>59</v>
      </c>
      <c r="H32" s="427"/>
      <c r="I32" s="48"/>
      <c r="Q32" s="59"/>
    </row>
    <row r="33" spans="1:17">
      <c r="A33" s="33" t="str">
        <f>"30- Niveau 4 – T "&amp;B33&amp;" "&amp;C33</f>
        <v>30- Niveau 4 – T  &lt; 3 ans d'expérience</v>
      </c>
      <c r="B33" s="30"/>
      <c r="C33" s="31" t="s">
        <v>133</v>
      </c>
      <c r="D33" s="104">
        <v>2168.7399999999998</v>
      </c>
      <c r="E33" s="403">
        <f t="shared" si="0"/>
        <v>2168.7399999999998</v>
      </c>
      <c r="F33" s="1"/>
      <c r="G33" s="17" t="s">
        <v>66</v>
      </c>
      <c r="H33" s="18" t="s">
        <v>16</v>
      </c>
      <c r="I33" s="48"/>
      <c r="Q33" s="59"/>
    </row>
    <row r="34" spans="1:17">
      <c r="A34" s="32" t="str">
        <f>"31- Niveau 5 – AJT "&amp;B34&amp;" "&amp;C34</f>
        <v>31- Niveau 5 – AJT  &gt;= 20 ans d'expérience</v>
      </c>
      <c r="B34" s="99"/>
      <c r="C34" s="100" t="s">
        <v>117</v>
      </c>
      <c r="D34" s="106">
        <v>2193.7399999999998</v>
      </c>
      <c r="E34" s="405">
        <f t="shared" si="0"/>
        <v>2193.7399999999998</v>
      </c>
      <c r="F34" s="1"/>
      <c r="G34" s="17">
        <v>0</v>
      </c>
      <c r="H34" s="52">
        <v>0</v>
      </c>
      <c r="I34" s="48"/>
      <c r="Q34" s="59"/>
    </row>
    <row r="35" spans="1:17">
      <c r="A35" s="32" t="str">
        <f>"32- Niveau 5 – AJT "&amp;B35&amp;" "&amp;C35</f>
        <v>32- Niveau 5 – AJT  &gt;= 15 et &lt; 20 ans d'expérience</v>
      </c>
      <c r="B35" s="99"/>
      <c r="C35" s="100" t="s">
        <v>118</v>
      </c>
      <c r="D35" s="106">
        <v>2144.77</v>
      </c>
      <c r="E35" s="405">
        <v>2144.77</v>
      </c>
      <c r="F35" s="1"/>
      <c r="G35" s="19">
        <v>1</v>
      </c>
      <c r="H35" s="56">
        <v>2.29</v>
      </c>
      <c r="I35" s="48"/>
      <c r="Q35" s="59"/>
    </row>
    <row r="36" spans="1:17">
      <c r="A36" s="32" t="str">
        <f>"33- Niveau 5 – AJT "&amp;B36&amp;" "&amp;C36</f>
        <v>33- Niveau 5 – AJT  &gt;= 10 et &lt; 15 ans d'expérience</v>
      </c>
      <c r="B36" s="99"/>
      <c r="C36" s="100" t="s">
        <v>119</v>
      </c>
      <c r="D36" s="106">
        <v>2139.9499999999998</v>
      </c>
      <c r="E36" s="405">
        <v>2139.9499999999998</v>
      </c>
      <c r="F36" s="1"/>
      <c r="G36" s="19">
        <v>2</v>
      </c>
      <c r="H36" s="56">
        <v>77.709999999999994</v>
      </c>
      <c r="Q36" s="59"/>
    </row>
    <row r="37" spans="1:17">
      <c r="A37" s="32" t="str">
        <f>"34- Niveau 5 – AJT "&amp;B37&amp;" "&amp;C37</f>
        <v>34- Niveau 5 – AJT  &gt;= 5 et &lt; 10 ans d'expérience</v>
      </c>
      <c r="B37" s="99"/>
      <c r="C37" s="100" t="s">
        <v>131</v>
      </c>
      <c r="D37" s="106">
        <v>2120.1799999999998</v>
      </c>
      <c r="E37" s="405">
        <f t="shared" si="0"/>
        <v>2120.1799999999998</v>
      </c>
      <c r="F37" s="1"/>
      <c r="G37" s="19">
        <v>3</v>
      </c>
      <c r="H37" s="56">
        <v>194.03</v>
      </c>
      <c r="Q37" s="59"/>
    </row>
    <row r="38" spans="1:17">
      <c r="A38" s="32" t="str">
        <f>"35- Niveau 5 – AJT "&amp;B38&amp;" "&amp;C38</f>
        <v>35- Niveau 5 – AJT  &gt;= 3 et &lt; 5 ans d'expérience</v>
      </c>
      <c r="B38" s="99"/>
      <c r="C38" s="100" t="s">
        <v>132</v>
      </c>
      <c r="D38" s="106">
        <v>2108.0300000000002</v>
      </c>
      <c r="E38" s="405">
        <f t="shared" si="0"/>
        <v>2108.0300000000002</v>
      </c>
      <c r="F38" s="1"/>
      <c r="G38" s="20" t="s">
        <v>67</v>
      </c>
      <c r="H38" s="58">
        <v>138.66</v>
      </c>
      <c r="Q38" s="59"/>
    </row>
    <row r="39" spans="1:17">
      <c r="A39" s="32" t="str">
        <f>"36- Niveau 5 – AJT "&amp;B39&amp;" "&amp;C39</f>
        <v>36- Niveau 5 – AJT  &lt; 3 ans d'expérience</v>
      </c>
      <c r="B39" s="99"/>
      <c r="C39" s="100" t="s">
        <v>133</v>
      </c>
      <c r="D39" s="106">
        <v>2095.71</v>
      </c>
      <c r="E39" s="405">
        <f t="shared" si="0"/>
        <v>2095.71</v>
      </c>
      <c r="F39" s="1"/>
      <c r="Q39" s="59"/>
    </row>
    <row r="40" spans="1:17">
      <c r="A40" s="33" t="s">
        <v>123</v>
      </c>
      <c r="B40" s="30"/>
      <c r="C40" s="31"/>
      <c r="D40" s="104">
        <v>2300</v>
      </c>
      <c r="E40" s="403">
        <v>2300</v>
      </c>
      <c r="F40" s="1"/>
      <c r="Q40" s="59"/>
    </row>
    <row r="41" spans="1:17" ht="13.75" thickBot="1">
      <c r="A41" s="117" t="s">
        <v>124</v>
      </c>
      <c r="B41" s="118"/>
      <c r="C41" s="119"/>
      <c r="D41" s="120">
        <v>2300</v>
      </c>
      <c r="E41" s="406">
        <v>2432</v>
      </c>
      <c r="F41" s="1"/>
      <c r="Q41" s="59"/>
    </row>
    <row r="42" spans="1:17" ht="13.75" thickBot="1">
      <c r="A42" s="97"/>
      <c r="B42" s="98"/>
      <c r="C42" s="98"/>
      <c r="D42" s="98"/>
      <c r="F42" s="1"/>
      <c r="Q42" s="59"/>
    </row>
    <row r="43" spans="1:17" ht="14.75" thickBot="1">
      <c r="A43" s="484" t="s">
        <v>195</v>
      </c>
      <c r="B43" s="485"/>
      <c r="C43" s="485"/>
      <c r="D43" s="485"/>
      <c r="E43" s="486"/>
      <c r="F43" s="1"/>
      <c r="Q43" s="59"/>
    </row>
    <row r="44" spans="1:17" ht="19.5" customHeight="1">
      <c r="A44" s="397" t="s">
        <v>83</v>
      </c>
      <c r="B44" s="398"/>
      <c r="C44" s="399" t="s">
        <v>73</v>
      </c>
      <c r="D44" s="399"/>
      <c r="E44" s="400">
        <v>12.02</v>
      </c>
      <c r="F44" s="1"/>
      <c r="G44" s="21" t="s">
        <v>177</v>
      </c>
      <c r="H44" s="395">
        <v>46023</v>
      </c>
    </row>
    <row r="45" spans="1:17">
      <c r="A45" s="23" t="s">
        <v>84</v>
      </c>
      <c r="B45" s="24"/>
      <c r="C45" s="27" t="s">
        <v>74</v>
      </c>
      <c r="D45" s="27"/>
      <c r="E45" s="313">
        <v>12.2</v>
      </c>
      <c r="F45" s="1"/>
    </row>
    <row r="46" spans="1:17">
      <c r="A46" s="23" t="s">
        <v>85</v>
      </c>
      <c r="B46" s="24"/>
      <c r="C46" s="27" t="s">
        <v>75</v>
      </c>
      <c r="D46" s="27"/>
      <c r="E46" s="313">
        <v>12.58</v>
      </c>
      <c r="F46" s="1"/>
      <c r="G46" s="426" t="s">
        <v>102</v>
      </c>
      <c r="H46" s="427"/>
    </row>
    <row r="47" spans="1:17">
      <c r="A47" s="23" t="s">
        <v>86</v>
      </c>
      <c r="B47" s="24"/>
      <c r="C47" s="27" t="s">
        <v>76</v>
      </c>
      <c r="D47" s="27"/>
      <c r="E47" s="313">
        <v>13.57</v>
      </c>
      <c r="F47" s="1"/>
      <c r="G47" s="21" t="s">
        <v>104</v>
      </c>
      <c r="H47" s="74">
        <v>0.03</v>
      </c>
    </row>
    <row r="48" spans="1:17" ht="13.5" customHeight="1" thickBot="1">
      <c r="A48" s="25" t="s">
        <v>87</v>
      </c>
      <c r="B48" s="26"/>
      <c r="C48" s="28" t="s">
        <v>77</v>
      </c>
      <c r="D48" s="28"/>
      <c r="E48" s="396">
        <v>14.6</v>
      </c>
      <c r="F48" s="1"/>
      <c r="G48" s="21" t="s">
        <v>105</v>
      </c>
      <c r="H48" s="74">
        <v>0.01</v>
      </c>
    </row>
    <row r="49" spans="1:14" ht="30" customHeight="1">
      <c r="F49" s="1"/>
      <c r="G49" s="21" t="s">
        <v>106</v>
      </c>
      <c r="H49" s="74">
        <v>0</v>
      </c>
      <c r="L49" s="4"/>
      <c r="M49" s="4"/>
      <c r="N49" s="4"/>
    </row>
    <row r="50" spans="1:14">
      <c r="E50" s="5"/>
      <c r="F50" s="1"/>
    </row>
    <row r="51" spans="1:14">
      <c r="A51" s="1"/>
      <c r="B51" s="1"/>
      <c r="C51" s="1"/>
      <c r="D51" s="1"/>
      <c r="E51" s="1"/>
      <c r="F51" s="1"/>
    </row>
    <row r="52" spans="1:14">
      <c r="A52" s="1"/>
      <c r="B52" s="1"/>
      <c r="C52" s="1"/>
      <c r="D52" s="1"/>
      <c r="E52" s="1"/>
      <c r="F52" s="1"/>
    </row>
    <row r="53" spans="1:14">
      <c r="A53" s="1"/>
      <c r="B53" s="1"/>
      <c r="C53" s="1"/>
      <c r="D53" s="1"/>
      <c r="E53" s="1"/>
      <c r="F53" s="1"/>
    </row>
    <row r="54" spans="1:14">
      <c r="A54" s="1"/>
      <c r="B54" s="1"/>
      <c r="C54" s="1"/>
      <c r="D54" s="1"/>
      <c r="E54" s="1"/>
      <c r="F54" s="1"/>
    </row>
    <row r="55" spans="1:14" ht="27.75" customHeight="1">
      <c r="A55" s="1"/>
      <c r="B55" s="1"/>
      <c r="C55" s="1"/>
      <c r="D55" s="1"/>
      <c r="E55" s="1"/>
      <c r="F55" s="1"/>
    </row>
    <row r="56" spans="1:14" ht="27.75" customHeight="1">
      <c r="F56" s="1"/>
    </row>
    <row r="57" spans="1:14">
      <c r="F57" s="1"/>
    </row>
    <row r="58" spans="1:14">
      <c r="F58" s="1"/>
    </row>
    <row r="59" spans="1:14">
      <c r="F59" s="1"/>
    </row>
    <row r="60" spans="1:14">
      <c r="F60" s="1"/>
    </row>
    <row r="61" spans="1:14">
      <c r="F61" s="1"/>
    </row>
    <row r="62" spans="1:14">
      <c r="F62" s="1"/>
    </row>
    <row r="63" spans="1:14">
      <c r="F63" s="1"/>
    </row>
    <row r="64" spans="1:14">
      <c r="F64" s="1"/>
    </row>
    <row r="65" spans="6:6">
      <c r="F65" s="1"/>
    </row>
    <row r="66" spans="6:6">
      <c r="F66" s="1"/>
    </row>
    <row r="67" spans="6:6">
      <c r="F67" s="1"/>
    </row>
    <row r="68" spans="6:6">
      <c r="F68" s="1"/>
    </row>
    <row r="69" spans="6:6">
      <c r="F69" s="1"/>
    </row>
    <row r="70" spans="6:6">
      <c r="F70" s="1"/>
    </row>
    <row r="71" spans="6:6">
      <c r="F71" s="1"/>
    </row>
    <row r="72" spans="6:6">
      <c r="F72" s="1"/>
    </row>
    <row r="73" spans="6:6">
      <c r="F73" s="1"/>
    </row>
    <row r="74" spans="6:6">
      <c r="F74" s="1"/>
    </row>
    <row r="75" spans="6:6">
      <c r="F75" s="1"/>
    </row>
    <row r="76" spans="6:6">
      <c r="F76" s="1"/>
    </row>
    <row r="77" spans="6:6">
      <c r="F77" s="1"/>
    </row>
    <row r="78" spans="6:6">
      <c r="F78" s="1"/>
    </row>
    <row r="79" spans="6:6">
      <c r="F79" s="1"/>
    </row>
    <row r="80" spans="6:6">
      <c r="F80" s="1"/>
    </row>
    <row r="81" spans="6:6">
      <c r="F81" s="1"/>
    </row>
    <row r="82" spans="6:6">
      <c r="F82" s="1"/>
    </row>
    <row r="83" spans="6:6">
      <c r="F83" s="1"/>
    </row>
    <row r="84" spans="6:6">
      <c r="F84" s="1"/>
    </row>
    <row r="85" spans="6:6">
      <c r="F85" s="1"/>
    </row>
    <row r="86" spans="6:6">
      <c r="F86" s="1"/>
    </row>
    <row r="87" spans="6:6">
      <c r="F87" s="1"/>
    </row>
    <row r="88" spans="6:6">
      <c r="F88" s="1"/>
    </row>
    <row r="89" spans="6:6">
      <c r="F89" s="1"/>
    </row>
    <row r="90" spans="6:6">
      <c r="F90" s="1"/>
    </row>
    <row r="91" spans="6:6">
      <c r="F91" s="1"/>
    </row>
    <row r="92" spans="6:6">
      <c r="F92" s="1"/>
    </row>
    <row r="93" spans="6:6">
      <c r="F93" s="1"/>
    </row>
    <row r="94" spans="6:6">
      <c r="F94" s="1"/>
    </row>
    <row r="95" spans="6:6">
      <c r="F95" s="1"/>
    </row>
    <row r="96" spans="6:6">
      <c r="F96" s="1"/>
    </row>
    <row r="97" spans="6:6">
      <c r="F97" s="1"/>
    </row>
    <row r="98" spans="6:6">
      <c r="F98" s="1"/>
    </row>
    <row r="99" spans="6:6">
      <c r="F99" s="1"/>
    </row>
    <row r="100" spans="6:6">
      <c r="F100" s="1"/>
    </row>
    <row r="101" spans="6:6">
      <c r="F101" s="1"/>
    </row>
    <row r="102" spans="6:6">
      <c r="F102" s="1"/>
    </row>
    <row r="103" spans="6:6">
      <c r="F103" s="1"/>
    </row>
    <row r="104" spans="6:6">
      <c r="F104" s="1"/>
    </row>
    <row r="105" spans="6:6">
      <c r="F105" s="1"/>
    </row>
    <row r="106" spans="6:6">
      <c r="F106" s="1"/>
    </row>
    <row r="107" spans="6:6">
      <c r="F107" s="1"/>
    </row>
    <row r="108" spans="6:6">
      <c r="F108" s="1"/>
    </row>
    <row r="109" spans="6:6">
      <c r="F109" s="1"/>
    </row>
    <row r="110" spans="6:6">
      <c r="F110" s="1"/>
    </row>
    <row r="111" spans="6:6">
      <c r="F111" s="1"/>
    </row>
    <row r="112" spans="6:6">
      <c r="F112" s="1"/>
    </row>
    <row r="113" spans="6:6">
      <c r="F113" s="1"/>
    </row>
    <row r="114" spans="6:6">
      <c r="F114" s="1"/>
    </row>
    <row r="115" spans="6:6">
      <c r="F115" s="1"/>
    </row>
    <row r="116" spans="6:6">
      <c r="F116" s="1"/>
    </row>
    <row r="117" spans="6:6">
      <c r="F117" s="1"/>
    </row>
    <row r="118" spans="6:6">
      <c r="F118" s="1"/>
    </row>
    <row r="119" spans="6:6">
      <c r="F119" s="1"/>
    </row>
    <row r="120" spans="6:6">
      <c r="F120" s="1"/>
    </row>
    <row r="121" spans="6:6">
      <c r="F121" s="1"/>
    </row>
    <row r="122" spans="6:6">
      <c r="F122" s="1"/>
    </row>
    <row r="123" spans="6:6">
      <c r="F123" s="1"/>
    </row>
    <row r="124" spans="6:6">
      <c r="F124" s="1"/>
    </row>
    <row r="125" spans="6:6">
      <c r="F125" s="1"/>
    </row>
    <row r="126" spans="6:6">
      <c r="F126" s="1"/>
    </row>
    <row r="127" spans="6:6">
      <c r="F127" s="1"/>
    </row>
    <row r="128" spans="6:6">
      <c r="F128" s="1"/>
    </row>
    <row r="129" spans="6:6">
      <c r="F129" s="1"/>
    </row>
    <row r="130" spans="6:6">
      <c r="F130" s="1"/>
    </row>
    <row r="131" spans="6:6">
      <c r="F131" s="1"/>
    </row>
    <row r="132" spans="6:6">
      <c r="F132" s="1"/>
    </row>
    <row r="133" spans="6:6">
      <c r="F133" s="1"/>
    </row>
    <row r="134" spans="6:6">
      <c r="F134" s="1"/>
    </row>
    <row r="135" spans="6:6">
      <c r="F135" s="1"/>
    </row>
    <row r="136" spans="6:6">
      <c r="F136" s="1"/>
    </row>
    <row r="137" spans="6:6">
      <c r="F137" s="1"/>
    </row>
    <row r="138" spans="6:6">
      <c r="F138" s="1"/>
    </row>
    <row r="139" spans="6:6">
      <c r="F139" s="1"/>
    </row>
    <row r="140" spans="6:6">
      <c r="F140" s="1"/>
    </row>
    <row r="141" spans="6:6">
      <c r="F141" s="1"/>
    </row>
    <row r="142" spans="6:6">
      <c r="F142" s="1"/>
    </row>
    <row r="143" spans="6:6">
      <c r="F143" s="1"/>
    </row>
    <row r="144" spans="6:6">
      <c r="F144" s="1"/>
    </row>
    <row r="145" spans="6:6">
      <c r="F145" s="1"/>
    </row>
    <row r="146" spans="6:6">
      <c r="F146" s="1"/>
    </row>
    <row r="147" spans="6:6">
      <c r="F147" s="1"/>
    </row>
    <row r="148" spans="6:6">
      <c r="F148" s="1"/>
    </row>
    <row r="149" spans="6:6">
      <c r="F149" s="1"/>
    </row>
    <row r="150" spans="6:6">
      <c r="F150" s="1"/>
    </row>
    <row r="151" spans="6:6">
      <c r="F151" s="1"/>
    </row>
    <row r="152" spans="6:6">
      <c r="F152" s="1"/>
    </row>
    <row r="153" spans="6:6">
      <c r="F153" s="1"/>
    </row>
    <row r="154" spans="6:6">
      <c r="F154" s="1"/>
    </row>
    <row r="155" spans="6:6">
      <c r="F155" s="1"/>
    </row>
    <row r="156" spans="6:6">
      <c r="F156" s="1"/>
    </row>
    <row r="157" spans="6:6">
      <c r="F157" s="1"/>
    </row>
    <row r="158" spans="6:6">
      <c r="F158" s="1"/>
    </row>
    <row r="159" spans="6:6">
      <c r="F159" s="1"/>
    </row>
    <row r="160" spans="6:6">
      <c r="F160" s="1"/>
    </row>
    <row r="161" spans="6:6">
      <c r="F161" s="1"/>
    </row>
    <row r="162" spans="6:6">
      <c r="F162" s="1"/>
    </row>
    <row r="163" spans="6:6">
      <c r="F163" s="1"/>
    </row>
    <row r="164" spans="6:6">
      <c r="F164" s="1"/>
    </row>
    <row r="165" spans="6:6">
      <c r="F165" s="1"/>
    </row>
    <row r="166" spans="6:6">
      <c r="F166" s="1"/>
    </row>
    <row r="167" spans="6:6">
      <c r="F167" s="1"/>
    </row>
    <row r="168" spans="6:6">
      <c r="F168" s="1"/>
    </row>
    <row r="169" spans="6:6">
      <c r="F169" s="1"/>
    </row>
    <row r="170" spans="6:6">
      <c r="F170" s="1"/>
    </row>
    <row r="171" spans="6:6">
      <c r="F171" s="1"/>
    </row>
    <row r="172" spans="6:6">
      <c r="F172" s="1"/>
    </row>
    <row r="173" spans="6:6">
      <c r="F173" s="1"/>
    </row>
    <row r="174" spans="6:6">
      <c r="F174" s="1"/>
    </row>
    <row r="175" spans="6:6">
      <c r="F175" s="1"/>
    </row>
    <row r="176" spans="6:6">
      <c r="F176" s="1"/>
    </row>
    <row r="177" spans="6:6">
      <c r="F177" s="1"/>
    </row>
    <row r="178" spans="6:6">
      <c r="F178" s="1"/>
    </row>
    <row r="179" spans="6:6">
      <c r="F179" s="1"/>
    </row>
    <row r="180" spans="6:6">
      <c r="F180" s="1"/>
    </row>
    <row r="181" spans="6:6">
      <c r="F181" s="1"/>
    </row>
    <row r="182" spans="6:6">
      <c r="F182" s="1"/>
    </row>
    <row r="183" spans="6:6">
      <c r="F183" s="1"/>
    </row>
    <row r="184" spans="6:6">
      <c r="F184" s="1"/>
    </row>
    <row r="185" spans="6:6">
      <c r="F185" s="1"/>
    </row>
    <row r="186" spans="6:6">
      <c r="F186" s="1"/>
    </row>
    <row r="187" spans="6:6">
      <c r="F187" s="1"/>
    </row>
    <row r="188" spans="6:6">
      <c r="F188" s="1"/>
    </row>
    <row r="189" spans="6:6">
      <c r="F189" s="1"/>
    </row>
    <row r="190" spans="6:6">
      <c r="F190" s="1"/>
    </row>
    <row r="191" spans="6:6">
      <c r="F191" s="1"/>
    </row>
    <row r="192" spans="6:6">
      <c r="F192" s="1"/>
    </row>
    <row r="193" spans="6:6">
      <c r="F193" s="1"/>
    </row>
    <row r="194" spans="6:6">
      <c r="F194" s="1"/>
    </row>
    <row r="195" spans="6:6">
      <c r="F195" s="1"/>
    </row>
    <row r="196" spans="6:6">
      <c r="F196" s="1"/>
    </row>
    <row r="197" spans="6:6">
      <c r="F197" s="1"/>
    </row>
    <row r="198" spans="6:6">
      <c r="F198" s="1"/>
    </row>
    <row r="199" spans="6:6">
      <c r="F199" s="1"/>
    </row>
    <row r="200" spans="6:6">
      <c r="F200" s="1"/>
    </row>
    <row r="201" spans="6:6">
      <c r="F201" s="1"/>
    </row>
    <row r="202" spans="6:6">
      <c r="F202" s="1"/>
    </row>
    <row r="203" spans="6:6">
      <c r="F203" s="1"/>
    </row>
    <row r="204" spans="6:6">
      <c r="F204" s="1"/>
    </row>
    <row r="205" spans="6:6">
      <c r="F205" s="1"/>
    </row>
    <row r="206" spans="6:6">
      <c r="F206" s="1"/>
    </row>
    <row r="207" spans="6:6">
      <c r="F207" s="1"/>
    </row>
    <row r="208" spans="6:6">
      <c r="F208" s="1"/>
    </row>
    <row r="209" spans="6:6">
      <c r="F209" s="1"/>
    </row>
    <row r="210" spans="6:6">
      <c r="F210" s="1"/>
    </row>
    <row r="211" spans="6:6">
      <c r="F211" s="1"/>
    </row>
    <row r="212" spans="6:6">
      <c r="F212" s="1"/>
    </row>
    <row r="213" spans="6:6">
      <c r="F213" s="1"/>
    </row>
    <row r="214" spans="6:6">
      <c r="F214" s="1"/>
    </row>
    <row r="215" spans="6:6">
      <c r="F215" s="1"/>
    </row>
    <row r="216" spans="6:6">
      <c r="F216" s="1"/>
    </row>
    <row r="217" spans="6:6">
      <c r="F217" s="1"/>
    </row>
    <row r="218" spans="6:6">
      <c r="F218" s="1"/>
    </row>
    <row r="219" spans="6:6">
      <c r="F219" s="1"/>
    </row>
    <row r="220" spans="6:6">
      <c r="F220" s="1"/>
    </row>
    <row r="221" spans="6:6">
      <c r="F221" s="1"/>
    </row>
    <row r="222" spans="6:6">
      <c r="F222" s="1"/>
    </row>
    <row r="223" spans="6:6">
      <c r="F223" s="1"/>
    </row>
    <row r="224" spans="6:6">
      <c r="F224" s="1"/>
    </row>
    <row r="225" spans="6:6">
      <c r="F225" s="1"/>
    </row>
    <row r="226" spans="6:6">
      <c r="F226" s="1"/>
    </row>
    <row r="227" spans="6:6">
      <c r="F227" s="1"/>
    </row>
    <row r="228" spans="6:6">
      <c r="F228" s="1"/>
    </row>
    <row r="229" spans="6:6">
      <c r="F229" s="1"/>
    </row>
    <row r="230" spans="6:6">
      <c r="F230" s="1"/>
    </row>
    <row r="231" spans="6:6">
      <c r="F231" s="1"/>
    </row>
    <row r="232" spans="6:6">
      <c r="F232" s="1"/>
    </row>
    <row r="233" spans="6:6">
      <c r="F233" s="1"/>
    </row>
    <row r="234" spans="6:6">
      <c r="F234" s="1"/>
    </row>
    <row r="235" spans="6:6">
      <c r="F235" s="1"/>
    </row>
    <row r="236" spans="6:6">
      <c r="F236" s="1"/>
    </row>
    <row r="237" spans="6:6">
      <c r="F237" s="1"/>
    </row>
    <row r="238" spans="6:6">
      <c r="F238" s="1"/>
    </row>
    <row r="239" spans="6:6">
      <c r="F239" s="1"/>
    </row>
    <row r="240" spans="6:6">
      <c r="F240" s="1"/>
    </row>
    <row r="241" spans="6:6">
      <c r="F241" s="1"/>
    </row>
    <row r="242" spans="6:6">
      <c r="F242" s="1"/>
    </row>
    <row r="243" spans="6:6">
      <c r="F243" s="1"/>
    </row>
    <row r="244" spans="6:6">
      <c r="F244" s="1"/>
    </row>
    <row r="245" spans="6:6">
      <c r="F245" s="1"/>
    </row>
    <row r="246" spans="6:6">
      <c r="F246" s="1"/>
    </row>
    <row r="247" spans="6:6">
      <c r="F247" s="1"/>
    </row>
    <row r="248" spans="6:6">
      <c r="F248" s="1"/>
    </row>
    <row r="249" spans="6:6">
      <c r="F249" s="1"/>
    </row>
    <row r="250" spans="6:6">
      <c r="F250" s="1"/>
    </row>
    <row r="251" spans="6:6">
      <c r="F251" s="1"/>
    </row>
    <row r="252" spans="6:6">
      <c r="F252" s="1"/>
    </row>
    <row r="253" spans="6:6">
      <c r="F253" s="1"/>
    </row>
    <row r="254" spans="6:6">
      <c r="F254" s="1"/>
    </row>
    <row r="255" spans="6:6">
      <c r="F255" s="1"/>
    </row>
    <row r="256" spans="6:6">
      <c r="F256" s="1"/>
    </row>
    <row r="257" spans="6:6">
      <c r="F257" s="1"/>
    </row>
    <row r="258" spans="6:6">
      <c r="F258" s="1"/>
    </row>
    <row r="259" spans="6:6">
      <c r="F259" s="1"/>
    </row>
    <row r="260" spans="6:6">
      <c r="F260" s="1"/>
    </row>
    <row r="261" spans="6:6">
      <c r="F261" s="1"/>
    </row>
    <row r="262" spans="6:6">
      <c r="F262" s="1"/>
    </row>
    <row r="263" spans="6:6">
      <c r="F263" s="1"/>
    </row>
    <row r="264" spans="6:6">
      <c r="F264" s="1"/>
    </row>
    <row r="265" spans="6:6">
      <c r="F265" s="1"/>
    </row>
    <row r="266" spans="6:6">
      <c r="F266" s="1"/>
    </row>
    <row r="267" spans="6:6">
      <c r="F267" s="1"/>
    </row>
    <row r="268" spans="6:6">
      <c r="F268" s="1"/>
    </row>
    <row r="269" spans="6:6">
      <c r="F269" s="1"/>
    </row>
    <row r="270" spans="6:6">
      <c r="F270" s="1"/>
    </row>
    <row r="271" spans="6:6">
      <c r="F271" s="1"/>
    </row>
    <row r="272" spans="6:6">
      <c r="F272" s="1"/>
    </row>
    <row r="273" spans="6:6">
      <c r="F273" s="1"/>
    </row>
    <row r="274" spans="6:6">
      <c r="F274" s="1"/>
    </row>
    <row r="275" spans="6:6">
      <c r="F275" s="1"/>
    </row>
    <row r="276" spans="6:6">
      <c r="F276" s="1"/>
    </row>
    <row r="277" spans="6:6">
      <c r="F277" s="1"/>
    </row>
    <row r="278" spans="6:6">
      <c r="F278" s="1"/>
    </row>
    <row r="279" spans="6:6">
      <c r="F279" s="1"/>
    </row>
    <row r="280" spans="6:6">
      <c r="F280" s="1"/>
    </row>
    <row r="281" spans="6:6">
      <c r="F281" s="1"/>
    </row>
    <row r="282" spans="6:6">
      <c r="F282" s="1"/>
    </row>
    <row r="283" spans="6:6">
      <c r="F283" s="1"/>
    </row>
    <row r="284" spans="6:6">
      <c r="F284" s="1"/>
    </row>
    <row r="285" spans="6:6">
      <c r="F285" s="1"/>
    </row>
    <row r="286" spans="6:6">
      <c r="F286" s="1"/>
    </row>
    <row r="287" spans="6:6">
      <c r="F287" s="1"/>
    </row>
    <row r="288" spans="6:6">
      <c r="F288" s="1"/>
    </row>
    <row r="289" spans="6:6">
      <c r="F289" s="1"/>
    </row>
    <row r="290" spans="6:6">
      <c r="F290" s="1"/>
    </row>
    <row r="291" spans="6:6">
      <c r="F291" s="1"/>
    </row>
    <row r="292" spans="6:6">
      <c r="F292" s="1"/>
    </row>
    <row r="293" spans="6:6">
      <c r="F293" s="1"/>
    </row>
    <row r="294" spans="6:6">
      <c r="F294" s="1"/>
    </row>
    <row r="295" spans="6:6">
      <c r="F295" s="1"/>
    </row>
    <row r="296" spans="6:6">
      <c r="F296" s="1"/>
    </row>
    <row r="297" spans="6:6">
      <c r="F297" s="1"/>
    </row>
    <row r="298" spans="6:6">
      <c r="F298" s="1"/>
    </row>
    <row r="299" spans="6:6">
      <c r="F299" s="1"/>
    </row>
    <row r="300" spans="6:6">
      <c r="F300" s="1"/>
    </row>
    <row r="301" spans="6:6">
      <c r="F301" s="1"/>
    </row>
    <row r="302" spans="6:6">
      <c r="F302" s="1"/>
    </row>
    <row r="303" spans="6:6">
      <c r="F303" s="1"/>
    </row>
    <row r="304" spans="6:6">
      <c r="F304" s="1"/>
    </row>
    <row r="305" spans="6:6">
      <c r="F305" s="1"/>
    </row>
    <row r="306" spans="6:6">
      <c r="F306" s="1"/>
    </row>
    <row r="307" spans="6:6">
      <c r="F307" s="1"/>
    </row>
    <row r="308" spans="6:6">
      <c r="F308" s="1"/>
    </row>
    <row r="309" spans="6:6">
      <c r="F309" s="1"/>
    </row>
    <row r="310" spans="6:6">
      <c r="F310" s="1"/>
    </row>
    <row r="311" spans="6:6">
      <c r="F311" s="1"/>
    </row>
    <row r="312" spans="6:6">
      <c r="F312" s="1"/>
    </row>
    <row r="313" spans="6:6">
      <c r="F313" s="1"/>
    </row>
    <row r="314" spans="6:6">
      <c r="F314" s="1"/>
    </row>
    <row r="315" spans="6:6">
      <c r="F315" s="1"/>
    </row>
    <row r="316" spans="6:6">
      <c r="F316" s="1"/>
    </row>
    <row r="317" spans="6:6">
      <c r="F317" s="1"/>
    </row>
    <row r="318" spans="6:6">
      <c r="F318" s="1"/>
    </row>
    <row r="319" spans="6:6">
      <c r="F319" s="1"/>
    </row>
    <row r="320" spans="6:6">
      <c r="F320" s="1"/>
    </row>
    <row r="321" spans="6:6">
      <c r="F321" s="1"/>
    </row>
    <row r="322" spans="6:6">
      <c r="F322" s="1"/>
    </row>
    <row r="323" spans="6:6">
      <c r="F323" s="1"/>
    </row>
    <row r="324" spans="6:6">
      <c r="F324" s="1"/>
    </row>
    <row r="325" spans="6:6">
      <c r="F325" s="1"/>
    </row>
    <row r="326" spans="6:6">
      <c r="F326" s="1"/>
    </row>
    <row r="327" spans="6:6">
      <c r="F327" s="1"/>
    </row>
    <row r="328" spans="6:6">
      <c r="F328" s="1"/>
    </row>
    <row r="329" spans="6:6">
      <c r="F329" s="1"/>
    </row>
    <row r="330" spans="6:6">
      <c r="F330" s="1"/>
    </row>
    <row r="331" spans="6:6">
      <c r="F331" s="1"/>
    </row>
    <row r="332" spans="6:6">
      <c r="F332" s="1"/>
    </row>
    <row r="333" spans="6:6">
      <c r="F333" s="1"/>
    </row>
    <row r="334" spans="6:6">
      <c r="F334" s="1"/>
    </row>
    <row r="335" spans="6:6">
      <c r="F335" s="1"/>
    </row>
    <row r="336" spans="6:6">
      <c r="F336" s="1"/>
    </row>
    <row r="337" spans="6:6">
      <c r="F337" s="1"/>
    </row>
    <row r="338" spans="6:6">
      <c r="F338" s="1"/>
    </row>
    <row r="339" spans="6:6">
      <c r="F339" s="1"/>
    </row>
    <row r="340" spans="6:6">
      <c r="F340" s="1"/>
    </row>
    <row r="341" spans="6:6">
      <c r="F341" s="1"/>
    </row>
    <row r="342" spans="6:6">
      <c r="F342" s="1"/>
    </row>
    <row r="343" spans="6:6">
      <c r="F343" s="1"/>
    </row>
    <row r="344" spans="6:6">
      <c r="F344" s="1"/>
    </row>
    <row r="345" spans="6:6">
      <c r="F345" s="1"/>
    </row>
    <row r="346" spans="6:6">
      <c r="F346" s="1"/>
    </row>
    <row r="347" spans="6:6">
      <c r="F347" s="1"/>
    </row>
    <row r="348" spans="6:6">
      <c r="F348" s="1"/>
    </row>
    <row r="349" spans="6:6">
      <c r="F349" s="1"/>
    </row>
    <row r="350" spans="6:6">
      <c r="F350" s="1"/>
    </row>
    <row r="351" spans="6:6">
      <c r="F351" s="1"/>
    </row>
    <row r="352" spans="6:6">
      <c r="F352" s="1"/>
    </row>
    <row r="353" spans="6:6">
      <c r="F353" s="1"/>
    </row>
    <row r="354" spans="6:6">
      <c r="F354" s="1"/>
    </row>
    <row r="355" spans="6:6">
      <c r="F355" s="1"/>
    </row>
    <row r="356" spans="6:6">
      <c r="F356" s="1"/>
    </row>
    <row r="357" spans="6:6">
      <c r="F357" s="1"/>
    </row>
    <row r="358" spans="6:6">
      <c r="F358" s="1"/>
    </row>
    <row r="359" spans="6:6">
      <c r="F359" s="1"/>
    </row>
    <row r="360" spans="6:6">
      <c r="F360" s="1"/>
    </row>
    <row r="361" spans="6:6">
      <c r="F361" s="1"/>
    </row>
    <row r="362" spans="6:6">
      <c r="F362" s="1"/>
    </row>
    <row r="363" spans="6:6">
      <c r="F363" s="1"/>
    </row>
    <row r="364" spans="6:6">
      <c r="F364" s="1"/>
    </row>
    <row r="365" spans="6:6">
      <c r="F365" s="1"/>
    </row>
    <row r="366" spans="6:6">
      <c r="F366" s="1"/>
    </row>
    <row r="367" spans="6:6">
      <c r="F367" s="1"/>
    </row>
    <row r="368" spans="6:6">
      <c r="F368" s="1"/>
    </row>
    <row r="369" spans="6:6">
      <c r="F369" s="1"/>
    </row>
    <row r="370" spans="6:6">
      <c r="F370" s="1"/>
    </row>
    <row r="371" spans="6:6">
      <c r="F371" s="1"/>
    </row>
    <row r="372" spans="6:6">
      <c r="F372" s="1"/>
    </row>
    <row r="373" spans="6:6">
      <c r="F373" s="1"/>
    </row>
    <row r="374" spans="6:6">
      <c r="F374" s="1"/>
    </row>
    <row r="375" spans="6:6">
      <c r="F375" s="1"/>
    </row>
    <row r="376" spans="6:6">
      <c r="F376" s="1"/>
    </row>
    <row r="377" spans="6:6">
      <c r="F377" s="1"/>
    </row>
    <row r="378" spans="6:6">
      <c r="F378" s="1"/>
    </row>
    <row r="379" spans="6:6">
      <c r="F379" s="1"/>
    </row>
    <row r="380" spans="6:6">
      <c r="F380" s="1"/>
    </row>
    <row r="381" spans="6:6">
      <c r="F381" s="1"/>
    </row>
    <row r="382" spans="6:6">
      <c r="F382" s="1"/>
    </row>
    <row r="383" spans="6:6">
      <c r="F383" s="1"/>
    </row>
    <row r="384" spans="6:6">
      <c r="F384" s="1"/>
    </row>
    <row r="385" spans="6:6">
      <c r="F385" s="1"/>
    </row>
    <row r="386" spans="6:6">
      <c r="F386" s="1"/>
    </row>
    <row r="387" spans="6:6">
      <c r="F387" s="1"/>
    </row>
    <row r="388" spans="6:6">
      <c r="F388" s="1"/>
    </row>
    <row r="389" spans="6:6">
      <c r="F389" s="1"/>
    </row>
    <row r="390" spans="6:6">
      <c r="F390" s="1"/>
    </row>
    <row r="391" spans="6:6">
      <c r="F391" s="1"/>
    </row>
    <row r="392" spans="6:6">
      <c r="F392" s="1"/>
    </row>
    <row r="393" spans="6:6">
      <c r="F393" s="1"/>
    </row>
    <row r="394" spans="6:6">
      <c r="F394" s="1"/>
    </row>
    <row r="395" spans="6:6">
      <c r="F395" s="1"/>
    </row>
    <row r="396" spans="6:6">
      <c r="F396" s="1"/>
    </row>
    <row r="397" spans="6:6">
      <c r="F397" s="1"/>
    </row>
    <row r="398" spans="6:6">
      <c r="F398" s="1"/>
    </row>
    <row r="399" spans="6:6">
      <c r="F399" s="1"/>
    </row>
    <row r="400" spans="6:6">
      <c r="F400" s="1"/>
    </row>
    <row r="401" spans="6:6">
      <c r="F401" s="1"/>
    </row>
    <row r="402" spans="6:6">
      <c r="F402" s="1"/>
    </row>
    <row r="403" spans="6:6">
      <c r="F403" s="1"/>
    </row>
    <row r="404" spans="6:6">
      <c r="F404" s="1"/>
    </row>
    <row r="405" spans="6:6">
      <c r="F405" s="1"/>
    </row>
    <row r="406" spans="6:6">
      <c r="F406" s="1"/>
    </row>
    <row r="407" spans="6:6">
      <c r="F407" s="1"/>
    </row>
    <row r="408" spans="6:6">
      <c r="F408" s="1"/>
    </row>
    <row r="409" spans="6:6">
      <c r="F409" s="1"/>
    </row>
    <row r="410" spans="6:6">
      <c r="F410" s="1"/>
    </row>
    <row r="411" spans="6:6">
      <c r="F411" s="1"/>
    </row>
    <row r="412" spans="6:6">
      <c r="F412" s="1"/>
    </row>
    <row r="413" spans="6:6">
      <c r="F413" s="1"/>
    </row>
    <row r="414" spans="6:6">
      <c r="F414" s="1"/>
    </row>
    <row r="415" spans="6:6">
      <c r="F415" s="1"/>
    </row>
    <row r="416" spans="6:6">
      <c r="F416" s="1"/>
    </row>
    <row r="417" spans="6:6">
      <c r="F417" s="1"/>
    </row>
    <row r="418" spans="6:6">
      <c r="F418" s="1"/>
    </row>
    <row r="419" spans="6:6">
      <c r="F419" s="1"/>
    </row>
    <row r="420" spans="6:6">
      <c r="F420" s="1"/>
    </row>
    <row r="421" spans="6:6">
      <c r="F421" s="1"/>
    </row>
    <row r="422" spans="6:6">
      <c r="F422" s="1"/>
    </row>
    <row r="423" spans="6:6">
      <c r="F423" s="1"/>
    </row>
    <row r="424" spans="6:6">
      <c r="F424" s="1"/>
    </row>
    <row r="425" spans="6:6">
      <c r="F425" s="1"/>
    </row>
    <row r="426" spans="6:6">
      <c r="F426" s="1"/>
    </row>
    <row r="427" spans="6:6">
      <c r="F427" s="1"/>
    </row>
    <row r="428" spans="6:6">
      <c r="F428" s="1"/>
    </row>
    <row r="429" spans="6:6">
      <c r="F429" s="1"/>
    </row>
    <row r="430" spans="6:6">
      <c r="F430" s="1"/>
    </row>
    <row r="431" spans="6:6">
      <c r="F431" s="1"/>
    </row>
    <row r="432" spans="6:6">
      <c r="F432" s="1"/>
    </row>
    <row r="433" spans="6:6">
      <c r="F433" s="1"/>
    </row>
    <row r="434" spans="6:6">
      <c r="F434" s="1"/>
    </row>
    <row r="435" spans="6:6">
      <c r="F435" s="1"/>
    </row>
    <row r="436" spans="6:6">
      <c r="F436" s="1"/>
    </row>
    <row r="437" spans="6:6">
      <c r="F437" s="1"/>
    </row>
    <row r="438" spans="6:6">
      <c r="F438" s="1"/>
    </row>
    <row r="439" spans="6:6">
      <c r="F439" s="1"/>
    </row>
    <row r="440" spans="6:6">
      <c r="F440" s="1"/>
    </row>
    <row r="441" spans="6:6">
      <c r="F441" s="1"/>
    </row>
    <row r="442" spans="6:6">
      <c r="F442" s="1"/>
    </row>
    <row r="443" spans="6:6">
      <c r="F443" s="1"/>
    </row>
    <row r="444" spans="6:6">
      <c r="F444" s="1"/>
    </row>
    <row r="445" spans="6:6">
      <c r="F445" s="1"/>
    </row>
    <row r="446" spans="6:6">
      <c r="F446" s="1"/>
    </row>
    <row r="447" spans="6:6">
      <c r="F447" s="1"/>
    </row>
    <row r="448" spans="6:6">
      <c r="F448" s="1"/>
    </row>
    <row r="449" spans="6:6">
      <c r="F449" s="1"/>
    </row>
    <row r="450" spans="6:6">
      <c r="F450" s="1"/>
    </row>
    <row r="451" spans="6:6">
      <c r="F451" s="1"/>
    </row>
    <row r="452" spans="6:6">
      <c r="F452" s="1"/>
    </row>
    <row r="453" spans="6:6">
      <c r="F453" s="1"/>
    </row>
    <row r="454" spans="6:6">
      <c r="F454" s="1"/>
    </row>
    <row r="455" spans="6:6">
      <c r="F455" s="1"/>
    </row>
    <row r="456" spans="6:6">
      <c r="F456" s="1"/>
    </row>
    <row r="457" spans="6:6">
      <c r="F457" s="1"/>
    </row>
    <row r="458" spans="6:6">
      <c r="F458" s="1"/>
    </row>
    <row r="459" spans="6:6">
      <c r="F459" s="1"/>
    </row>
    <row r="460" spans="6:6">
      <c r="F460" s="1"/>
    </row>
    <row r="461" spans="6:6">
      <c r="F461" s="1"/>
    </row>
    <row r="462" spans="6:6">
      <c r="F462" s="1"/>
    </row>
    <row r="463" spans="6:6">
      <c r="F463" s="1"/>
    </row>
    <row r="464" spans="6:6">
      <c r="F464" s="1"/>
    </row>
    <row r="465" spans="6:6">
      <c r="F465" s="1"/>
    </row>
    <row r="466" spans="6:6">
      <c r="F466" s="1"/>
    </row>
    <row r="467" spans="6:6">
      <c r="F467" s="1"/>
    </row>
    <row r="468" spans="6:6">
      <c r="F468" s="1"/>
    </row>
    <row r="469" spans="6:6">
      <c r="F469" s="1"/>
    </row>
    <row r="470" spans="6:6">
      <c r="F470" s="1"/>
    </row>
    <row r="471" spans="6:6">
      <c r="F471" s="1"/>
    </row>
    <row r="472" spans="6:6">
      <c r="F472" s="1"/>
    </row>
    <row r="473" spans="6:6">
      <c r="F473" s="1"/>
    </row>
    <row r="474" spans="6:6">
      <c r="F474" s="1"/>
    </row>
    <row r="475" spans="6:6">
      <c r="F475" s="1"/>
    </row>
    <row r="476" spans="6:6">
      <c r="F476" s="1"/>
    </row>
    <row r="477" spans="6:6">
      <c r="F477" s="1"/>
    </row>
    <row r="478" spans="6:6">
      <c r="F478" s="1"/>
    </row>
    <row r="479" spans="6:6">
      <c r="F479" s="1"/>
    </row>
    <row r="480" spans="6:6">
      <c r="F480" s="1"/>
    </row>
    <row r="481" spans="6:6">
      <c r="F481" s="1"/>
    </row>
    <row r="482" spans="6:6">
      <c r="F482" s="1"/>
    </row>
    <row r="483" spans="6:6">
      <c r="F483" s="1"/>
    </row>
    <row r="484" spans="6:6">
      <c r="F484" s="1"/>
    </row>
    <row r="485" spans="6:6">
      <c r="F485" s="1"/>
    </row>
    <row r="486" spans="6:6">
      <c r="F486" s="1"/>
    </row>
    <row r="487" spans="6:6">
      <c r="F487" s="1"/>
    </row>
    <row r="488" spans="6:6">
      <c r="F488" s="1"/>
    </row>
    <row r="489" spans="6:6">
      <c r="F489" s="1"/>
    </row>
    <row r="490" spans="6:6">
      <c r="F490" s="1"/>
    </row>
    <row r="491" spans="6:6">
      <c r="F491" s="1"/>
    </row>
    <row r="492" spans="6:6">
      <c r="F492" s="1"/>
    </row>
    <row r="493" spans="6:6">
      <c r="F493" s="1"/>
    </row>
    <row r="494" spans="6:6">
      <c r="F494" s="1"/>
    </row>
    <row r="495" spans="6:6">
      <c r="F495" s="1"/>
    </row>
    <row r="496" spans="6:6">
      <c r="F496" s="1"/>
    </row>
    <row r="497" spans="6:6">
      <c r="F497" s="1"/>
    </row>
    <row r="498" spans="6:6">
      <c r="F498" s="1"/>
    </row>
    <row r="499" spans="6:6">
      <c r="F499" s="1"/>
    </row>
    <row r="500" spans="6:6">
      <c r="F500" s="1"/>
    </row>
    <row r="501" spans="6:6">
      <c r="F501" s="1"/>
    </row>
    <row r="502" spans="6:6">
      <c r="F502" s="1"/>
    </row>
    <row r="503" spans="6:6">
      <c r="F503" s="1"/>
    </row>
    <row r="504" spans="6:6">
      <c r="F504" s="1"/>
    </row>
    <row r="505" spans="6:6">
      <c r="F505" s="1"/>
    </row>
    <row r="506" spans="6:6">
      <c r="F506" s="1"/>
    </row>
    <row r="507" spans="6:6">
      <c r="F507" s="1"/>
    </row>
    <row r="508" spans="6:6">
      <c r="F508" s="1"/>
    </row>
    <row r="509" spans="6:6">
      <c r="F509" s="1"/>
    </row>
    <row r="510" spans="6:6">
      <c r="F510" s="1"/>
    </row>
    <row r="511" spans="6:6">
      <c r="F511" s="1"/>
    </row>
    <row r="512" spans="6:6">
      <c r="F512" s="1"/>
    </row>
    <row r="513" spans="6:6">
      <c r="F513" s="1"/>
    </row>
    <row r="514" spans="6:6">
      <c r="F514" s="1"/>
    </row>
    <row r="515" spans="6:6">
      <c r="F515" s="1"/>
    </row>
    <row r="516" spans="6:6">
      <c r="F516" s="1"/>
    </row>
    <row r="517" spans="6:6">
      <c r="F517" s="1"/>
    </row>
    <row r="518" spans="6:6">
      <c r="F518" s="1"/>
    </row>
    <row r="519" spans="6:6">
      <c r="F519" s="1"/>
    </row>
    <row r="520" spans="6:6">
      <c r="F520" s="1"/>
    </row>
    <row r="521" spans="6:6">
      <c r="F521" s="1"/>
    </row>
    <row r="522" spans="6:6">
      <c r="F522" s="1"/>
    </row>
    <row r="523" spans="6:6">
      <c r="F523" s="1"/>
    </row>
    <row r="524" spans="6:6">
      <c r="F524" s="1"/>
    </row>
    <row r="525" spans="6:6">
      <c r="F525" s="1"/>
    </row>
    <row r="526" spans="6:6">
      <c r="F526" s="1"/>
    </row>
    <row r="527" spans="6:6">
      <c r="F527" s="1"/>
    </row>
    <row r="528" spans="6:6">
      <c r="F528" s="1"/>
    </row>
    <row r="529" spans="6:6">
      <c r="F529" s="1"/>
    </row>
    <row r="530" spans="6:6">
      <c r="F530" s="1"/>
    </row>
    <row r="531" spans="6:6">
      <c r="F531" s="1"/>
    </row>
    <row r="532" spans="6:6">
      <c r="F532" s="1"/>
    </row>
    <row r="533" spans="6:6">
      <c r="F533" s="1"/>
    </row>
    <row r="534" spans="6:6">
      <c r="F534" s="1"/>
    </row>
    <row r="535" spans="6:6">
      <c r="F535" s="1"/>
    </row>
    <row r="536" spans="6:6">
      <c r="F536" s="1"/>
    </row>
    <row r="537" spans="6:6">
      <c r="F537" s="1"/>
    </row>
    <row r="538" spans="6:6">
      <c r="F538" s="1"/>
    </row>
    <row r="539" spans="6:6">
      <c r="F539" s="1"/>
    </row>
    <row r="540" spans="6:6">
      <c r="F540" s="1"/>
    </row>
    <row r="541" spans="6:6">
      <c r="F541" s="1"/>
    </row>
    <row r="542" spans="6:6">
      <c r="F542" s="1"/>
    </row>
    <row r="543" spans="6:6">
      <c r="F543" s="1"/>
    </row>
    <row r="544" spans="6:6">
      <c r="F544" s="1"/>
    </row>
    <row r="545" spans="6:6">
      <c r="F545" s="1"/>
    </row>
    <row r="546" spans="6:6">
      <c r="F546" s="1"/>
    </row>
    <row r="547" spans="6:6">
      <c r="F547" s="1"/>
    </row>
    <row r="548" spans="6:6">
      <c r="F548" s="1"/>
    </row>
    <row r="549" spans="6:6">
      <c r="F549" s="1"/>
    </row>
    <row r="550" spans="6:6">
      <c r="F550" s="1"/>
    </row>
    <row r="551" spans="6:6">
      <c r="F551" s="1"/>
    </row>
    <row r="552" spans="6:6">
      <c r="F552" s="1"/>
    </row>
    <row r="553" spans="6:6">
      <c r="F553" s="1"/>
    </row>
    <row r="554" spans="6:6">
      <c r="F554" s="1"/>
    </row>
    <row r="555" spans="6:6">
      <c r="F555" s="1"/>
    </row>
    <row r="556" spans="6:6">
      <c r="F556" s="1"/>
    </row>
    <row r="557" spans="6:6">
      <c r="F557" s="1"/>
    </row>
    <row r="558" spans="6:6">
      <c r="F558" s="1"/>
    </row>
    <row r="559" spans="6:6">
      <c r="F559" s="1"/>
    </row>
    <row r="560" spans="6:6">
      <c r="F560" s="1"/>
    </row>
    <row r="561" spans="6:6">
      <c r="F561" s="1"/>
    </row>
    <row r="562" spans="6:6">
      <c r="F562" s="1"/>
    </row>
    <row r="563" spans="6:6">
      <c r="F563" s="1"/>
    </row>
    <row r="564" spans="6:6">
      <c r="F564" s="1"/>
    </row>
    <row r="565" spans="6:6">
      <c r="F565" s="1"/>
    </row>
    <row r="566" spans="6:6">
      <c r="F566" s="1"/>
    </row>
    <row r="567" spans="6:6">
      <c r="F567" s="1"/>
    </row>
    <row r="568" spans="6:6">
      <c r="F568" s="1"/>
    </row>
    <row r="569" spans="6:6">
      <c r="F569" s="1"/>
    </row>
    <row r="570" spans="6:6">
      <c r="F570" s="1"/>
    </row>
    <row r="571" spans="6:6">
      <c r="F571" s="1"/>
    </row>
    <row r="572" spans="6:6">
      <c r="F572" s="1"/>
    </row>
    <row r="573" spans="6:6">
      <c r="F573" s="1"/>
    </row>
    <row r="574" spans="6:6">
      <c r="F574" s="1"/>
    </row>
    <row r="575" spans="6:6">
      <c r="F575" s="1"/>
    </row>
    <row r="576" spans="6:6">
      <c r="F576" s="1"/>
    </row>
    <row r="577" spans="6:6">
      <c r="F577" s="1"/>
    </row>
    <row r="578" spans="6:6">
      <c r="F578" s="1"/>
    </row>
    <row r="579" spans="6:6">
      <c r="F579" s="1"/>
    </row>
    <row r="580" spans="6:6">
      <c r="F580" s="1"/>
    </row>
    <row r="581" spans="6:6">
      <c r="F581" s="1"/>
    </row>
    <row r="582" spans="6:6">
      <c r="F582" s="1"/>
    </row>
    <row r="583" spans="6:6">
      <c r="F583" s="1"/>
    </row>
    <row r="584" spans="6:6">
      <c r="F584" s="1"/>
    </row>
    <row r="585" spans="6:6">
      <c r="F585" s="1"/>
    </row>
    <row r="586" spans="6:6">
      <c r="F586" s="1"/>
    </row>
    <row r="587" spans="6:6">
      <c r="F587" s="1"/>
    </row>
    <row r="588" spans="6:6">
      <c r="F588" s="1"/>
    </row>
    <row r="589" spans="6:6">
      <c r="F589" s="1"/>
    </row>
    <row r="590" spans="6:6">
      <c r="F590" s="1"/>
    </row>
    <row r="591" spans="6:6">
      <c r="F591" s="1"/>
    </row>
    <row r="592" spans="6:6">
      <c r="F592" s="1"/>
    </row>
    <row r="593" spans="6:6">
      <c r="F593" s="1"/>
    </row>
    <row r="594" spans="6:6">
      <c r="F594" s="1"/>
    </row>
    <row r="595" spans="6:6">
      <c r="F595" s="1"/>
    </row>
    <row r="596" spans="6:6">
      <c r="F596" s="1"/>
    </row>
    <row r="597" spans="6:6">
      <c r="F597" s="1"/>
    </row>
    <row r="598" spans="6:6">
      <c r="F598" s="1"/>
    </row>
    <row r="599" spans="6:6">
      <c r="F599" s="1"/>
    </row>
    <row r="600" spans="6:6">
      <c r="F600" s="1"/>
    </row>
    <row r="601" spans="6:6">
      <c r="F601" s="1"/>
    </row>
    <row r="602" spans="6:6">
      <c r="F602" s="1"/>
    </row>
    <row r="603" spans="6:6">
      <c r="F603" s="1"/>
    </row>
    <row r="604" spans="6:6">
      <c r="F604" s="1"/>
    </row>
    <row r="605" spans="6:6">
      <c r="F605" s="1"/>
    </row>
    <row r="606" spans="6:6">
      <c r="F606" s="1"/>
    </row>
    <row r="607" spans="6:6">
      <c r="F607" s="1"/>
    </row>
    <row r="608" spans="6:6">
      <c r="F608" s="1"/>
    </row>
    <row r="609" spans="6:6">
      <c r="F609" s="1"/>
    </row>
    <row r="610" spans="6:6">
      <c r="F610" s="1"/>
    </row>
    <row r="611" spans="6:6">
      <c r="F611" s="1"/>
    </row>
    <row r="612" spans="6:6">
      <c r="F612" s="1"/>
    </row>
    <row r="613" spans="6:6">
      <c r="F613" s="1"/>
    </row>
    <row r="614" spans="6:6">
      <c r="F614" s="1"/>
    </row>
    <row r="615" spans="6:6">
      <c r="F615" s="1"/>
    </row>
    <row r="616" spans="6:6">
      <c r="F616" s="1"/>
    </row>
    <row r="617" spans="6:6">
      <c r="F617" s="1"/>
    </row>
    <row r="618" spans="6:6">
      <c r="F618" s="1"/>
    </row>
    <row r="619" spans="6:6">
      <c r="F619" s="1"/>
    </row>
    <row r="620" spans="6:6">
      <c r="F620" s="1"/>
    </row>
    <row r="621" spans="6:6">
      <c r="F621" s="1"/>
    </row>
    <row r="622" spans="6:6">
      <c r="F622" s="1"/>
    </row>
    <row r="623" spans="6:6">
      <c r="F623" s="1"/>
    </row>
    <row r="624" spans="6:6">
      <c r="F624" s="1"/>
    </row>
    <row r="625" spans="6:6">
      <c r="F625" s="1"/>
    </row>
    <row r="626" spans="6:6">
      <c r="F626" s="1"/>
    </row>
    <row r="627" spans="6:6">
      <c r="F627" s="1"/>
    </row>
    <row r="628" spans="6:6">
      <c r="F628" s="1"/>
    </row>
    <row r="629" spans="6:6">
      <c r="F629" s="1"/>
    </row>
    <row r="630" spans="6:6">
      <c r="F630" s="1"/>
    </row>
    <row r="631" spans="6:6">
      <c r="F631" s="1"/>
    </row>
    <row r="632" spans="6:6">
      <c r="F632" s="1"/>
    </row>
    <row r="633" spans="6:6">
      <c r="F633" s="1"/>
    </row>
    <row r="634" spans="6:6">
      <c r="F634" s="1"/>
    </row>
    <row r="635" spans="6:6">
      <c r="F635" s="1"/>
    </row>
    <row r="636" spans="6:6">
      <c r="F636" s="1"/>
    </row>
    <row r="637" spans="6:6">
      <c r="F637" s="1"/>
    </row>
    <row r="638" spans="6:6">
      <c r="F638" s="1"/>
    </row>
    <row r="639" spans="6:6">
      <c r="F639" s="1"/>
    </row>
    <row r="640" spans="6:6">
      <c r="F640" s="1"/>
    </row>
    <row r="641" spans="6:6">
      <c r="F641" s="1"/>
    </row>
    <row r="642" spans="6:6">
      <c r="F642" s="1"/>
    </row>
    <row r="643" spans="6:6">
      <c r="F643" s="1"/>
    </row>
    <row r="644" spans="6:6">
      <c r="F644" s="1"/>
    </row>
    <row r="645" spans="6:6">
      <c r="F645" s="1"/>
    </row>
    <row r="646" spans="6:6">
      <c r="F646" s="1"/>
    </row>
    <row r="647" spans="6:6">
      <c r="F647" s="1"/>
    </row>
    <row r="648" spans="6:6">
      <c r="F648" s="1"/>
    </row>
    <row r="649" spans="6:6">
      <c r="F649" s="1"/>
    </row>
    <row r="650" spans="6:6">
      <c r="F650" s="1"/>
    </row>
    <row r="651" spans="6:6">
      <c r="F651" s="1"/>
    </row>
    <row r="652" spans="6:6">
      <c r="F652" s="1"/>
    </row>
    <row r="653" spans="6:6">
      <c r="F653" s="1"/>
    </row>
    <row r="654" spans="6:6">
      <c r="F654" s="1"/>
    </row>
    <row r="655" spans="6:6">
      <c r="F655" s="1"/>
    </row>
    <row r="656" spans="6:6">
      <c r="F656" s="1"/>
    </row>
    <row r="657" spans="6:6">
      <c r="F657" s="1"/>
    </row>
    <row r="658" spans="6:6">
      <c r="F658" s="1"/>
    </row>
    <row r="659" spans="6:6">
      <c r="F659" s="1"/>
    </row>
    <row r="660" spans="6:6">
      <c r="F660" s="1"/>
    </row>
    <row r="661" spans="6:6">
      <c r="F661" s="1"/>
    </row>
    <row r="662" spans="6:6">
      <c r="F662" s="1"/>
    </row>
    <row r="663" spans="6:6">
      <c r="F663" s="1"/>
    </row>
    <row r="664" spans="6:6">
      <c r="F664" s="1"/>
    </row>
    <row r="665" spans="6:6">
      <c r="F665" s="1"/>
    </row>
    <row r="666" spans="6:6">
      <c r="F666" s="1"/>
    </row>
    <row r="667" spans="6:6">
      <c r="F667" s="1"/>
    </row>
    <row r="668" spans="6:6">
      <c r="F668" s="1"/>
    </row>
    <row r="669" spans="6:6">
      <c r="F669" s="1"/>
    </row>
    <row r="670" spans="6:6">
      <c r="F670" s="1"/>
    </row>
    <row r="671" spans="6:6">
      <c r="F671" s="1"/>
    </row>
    <row r="672" spans="6:6">
      <c r="F672" s="1"/>
    </row>
    <row r="673" spans="6:6">
      <c r="F673" s="1"/>
    </row>
    <row r="674" spans="6:6">
      <c r="F674" s="1"/>
    </row>
    <row r="675" spans="6:6">
      <c r="F675" s="1"/>
    </row>
    <row r="676" spans="6:6">
      <c r="F676" s="1"/>
    </row>
    <row r="677" spans="6:6">
      <c r="F677" s="1"/>
    </row>
    <row r="678" spans="6:6">
      <c r="F678" s="1"/>
    </row>
    <row r="679" spans="6:6">
      <c r="F679" s="1"/>
    </row>
    <row r="680" spans="6:6">
      <c r="F680" s="1"/>
    </row>
    <row r="681" spans="6:6">
      <c r="F681" s="1"/>
    </row>
    <row r="682" spans="6:6">
      <c r="F682" s="1"/>
    </row>
    <row r="683" spans="6:6">
      <c r="F683" s="1"/>
    </row>
    <row r="684" spans="6:6">
      <c r="F684" s="1"/>
    </row>
    <row r="685" spans="6:6">
      <c r="F685" s="1"/>
    </row>
    <row r="686" spans="6:6">
      <c r="F686" s="1"/>
    </row>
    <row r="687" spans="6:6">
      <c r="F687" s="1"/>
    </row>
    <row r="688" spans="6:6">
      <c r="F688" s="1"/>
    </row>
    <row r="689" spans="6:6">
      <c r="F689" s="1"/>
    </row>
    <row r="690" spans="6:6">
      <c r="F690" s="1"/>
    </row>
    <row r="691" spans="6:6">
      <c r="F691" s="1"/>
    </row>
    <row r="692" spans="6:6">
      <c r="F692" s="1"/>
    </row>
    <row r="693" spans="6:6">
      <c r="F693" s="1"/>
    </row>
    <row r="694" spans="6:6">
      <c r="F694" s="1"/>
    </row>
    <row r="695" spans="6:6">
      <c r="F695" s="1"/>
    </row>
    <row r="696" spans="6:6">
      <c r="F696" s="1"/>
    </row>
    <row r="697" spans="6:6">
      <c r="F697" s="1"/>
    </row>
    <row r="698" spans="6:6">
      <c r="F698" s="1"/>
    </row>
    <row r="699" spans="6:6">
      <c r="F699" s="1"/>
    </row>
    <row r="700" spans="6:6">
      <c r="F700" s="1"/>
    </row>
    <row r="701" spans="6:6">
      <c r="F701" s="1"/>
    </row>
    <row r="702" spans="6:6">
      <c r="F702" s="1"/>
    </row>
    <row r="703" spans="6:6">
      <c r="F703" s="1"/>
    </row>
    <row r="704" spans="6:6">
      <c r="F704" s="1"/>
    </row>
    <row r="705" spans="6:6">
      <c r="F705" s="1"/>
    </row>
    <row r="706" spans="6:6">
      <c r="F706" s="1"/>
    </row>
    <row r="707" spans="6:6">
      <c r="F707" s="1"/>
    </row>
    <row r="708" spans="6:6">
      <c r="F708" s="1"/>
    </row>
    <row r="709" spans="6:6">
      <c r="F709" s="1"/>
    </row>
    <row r="710" spans="6:6">
      <c r="F710" s="1"/>
    </row>
    <row r="711" spans="6:6">
      <c r="F711" s="1"/>
    </row>
    <row r="712" spans="6:6">
      <c r="F712" s="1"/>
    </row>
    <row r="713" spans="6:6">
      <c r="F713" s="1"/>
    </row>
    <row r="714" spans="6:6">
      <c r="F714" s="1"/>
    </row>
    <row r="715" spans="6:6">
      <c r="F715" s="1"/>
    </row>
    <row r="716" spans="6:6">
      <c r="F716" s="1"/>
    </row>
    <row r="717" spans="6:6">
      <c r="F717" s="1"/>
    </row>
    <row r="718" spans="6:6">
      <c r="F718" s="1"/>
    </row>
    <row r="719" spans="6:6">
      <c r="F719" s="1"/>
    </row>
    <row r="720" spans="6:6">
      <c r="F720" s="1"/>
    </row>
    <row r="721" spans="6:6">
      <c r="F721" s="1"/>
    </row>
    <row r="722" spans="6:6">
      <c r="F722" s="1"/>
    </row>
    <row r="723" spans="6:6">
      <c r="F723" s="1"/>
    </row>
    <row r="724" spans="6:6">
      <c r="F724" s="1"/>
    </row>
    <row r="725" spans="6:6">
      <c r="F725" s="1"/>
    </row>
    <row r="726" spans="6:6">
      <c r="F726" s="1"/>
    </row>
    <row r="727" spans="6:6">
      <c r="F727" s="1"/>
    </row>
    <row r="728" spans="6:6">
      <c r="F728" s="1"/>
    </row>
    <row r="729" spans="6:6">
      <c r="F729" s="1"/>
    </row>
    <row r="730" spans="6:6">
      <c r="F730" s="1"/>
    </row>
    <row r="731" spans="6:6">
      <c r="F731" s="1"/>
    </row>
    <row r="732" spans="6:6">
      <c r="F732" s="1"/>
    </row>
    <row r="733" spans="6:6">
      <c r="F733" s="1"/>
    </row>
    <row r="734" spans="6:6">
      <c r="F734" s="1"/>
    </row>
    <row r="735" spans="6:6">
      <c r="F735" s="1"/>
    </row>
    <row r="736" spans="6:6">
      <c r="F736" s="1"/>
    </row>
    <row r="737" spans="6:6">
      <c r="F737" s="1"/>
    </row>
    <row r="738" spans="6:6">
      <c r="F738" s="1"/>
    </row>
    <row r="739" spans="6:6">
      <c r="F739" s="1"/>
    </row>
    <row r="740" spans="6:6">
      <c r="F740" s="1"/>
    </row>
    <row r="741" spans="6:6">
      <c r="F741" s="1"/>
    </row>
    <row r="742" spans="6:6">
      <c r="F742" s="1"/>
    </row>
    <row r="743" spans="6:6">
      <c r="F743" s="1"/>
    </row>
    <row r="744" spans="6:6">
      <c r="F744" s="1"/>
    </row>
    <row r="745" spans="6:6">
      <c r="F745" s="1"/>
    </row>
    <row r="746" spans="6:6">
      <c r="F746" s="1"/>
    </row>
    <row r="747" spans="6:6">
      <c r="F747" s="1"/>
    </row>
    <row r="748" spans="6:6">
      <c r="F748" s="1"/>
    </row>
    <row r="749" spans="6:6">
      <c r="F749" s="1"/>
    </row>
    <row r="750" spans="6:6">
      <c r="F750" s="1"/>
    </row>
    <row r="751" spans="6:6">
      <c r="F751" s="1"/>
    </row>
    <row r="752" spans="6:6">
      <c r="F752" s="1"/>
    </row>
    <row r="753" spans="6:6">
      <c r="F753" s="1"/>
    </row>
    <row r="754" spans="6:6">
      <c r="F754" s="1"/>
    </row>
    <row r="755" spans="6:6">
      <c r="F755" s="1"/>
    </row>
    <row r="756" spans="6:6">
      <c r="F756" s="1"/>
    </row>
    <row r="757" spans="6:6">
      <c r="F757" s="1"/>
    </row>
    <row r="758" spans="6:6">
      <c r="F758" s="1"/>
    </row>
    <row r="759" spans="6:6">
      <c r="F759" s="1"/>
    </row>
    <row r="760" spans="6:6">
      <c r="F760" s="1"/>
    </row>
    <row r="761" spans="6:6">
      <c r="F761" s="1"/>
    </row>
    <row r="762" spans="6:6">
      <c r="F762" s="1"/>
    </row>
    <row r="763" spans="6:6">
      <c r="F763" s="1"/>
    </row>
    <row r="764" spans="6:6">
      <c r="F764" s="1"/>
    </row>
    <row r="765" spans="6:6">
      <c r="F765" s="1"/>
    </row>
    <row r="766" spans="6:6">
      <c r="F766" s="1"/>
    </row>
    <row r="767" spans="6:6">
      <c r="F767" s="1"/>
    </row>
    <row r="768" spans="6:6">
      <c r="F768" s="1"/>
    </row>
    <row r="769" spans="6:6">
      <c r="F769" s="1"/>
    </row>
    <row r="770" spans="6:6">
      <c r="F770" s="1"/>
    </row>
    <row r="771" spans="6:6">
      <c r="F771" s="1"/>
    </row>
    <row r="772" spans="6:6">
      <c r="F772" s="1"/>
    </row>
    <row r="773" spans="6:6">
      <c r="F773" s="1"/>
    </row>
    <row r="774" spans="6:6">
      <c r="F774" s="1"/>
    </row>
    <row r="775" spans="6:6">
      <c r="F775" s="1"/>
    </row>
    <row r="776" spans="6:6">
      <c r="F776" s="1"/>
    </row>
    <row r="777" spans="6:6">
      <c r="F777" s="1"/>
    </row>
    <row r="778" spans="6:6">
      <c r="F778" s="1"/>
    </row>
    <row r="779" spans="6:6">
      <c r="F779" s="1"/>
    </row>
    <row r="780" spans="6:6">
      <c r="F780" s="1"/>
    </row>
    <row r="781" spans="6:6">
      <c r="F781" s="1"/>
    </row>
    <row r="782" spans="6:6">
      <c r="F782" s="1"/>
    </row>
    <row r="783" spans="6:6">
      <c r="F783" s="1"/>
    </row>
    <row r="784" spans="6:6">
      <c r="F784" s="1"/>
    </row>
    <row r="785" spans="6:6">
      <c r="F785" s="1"/>
    </row>
    <row r="786" spans="6:6">
      <c r="F786" s="1"/>
    </row>
    <row r="787" spans="6:6">
      <c r="F787" s="1"/>
    </row>
    <row r="788" spans="6:6">
      <c r="F788" s="1"/>
    </row>
    <row r="789" spans="6:6">
      <c r="F789" s="1"/>
    </row>
    <row r="790" spans="6:6">
      <c r="F790" s="1"/>
    </row>
    <row r="791" spans="6:6">
      <c r="F791" s="1"/>
    </row>
    <row r="792" spans="6:6">
      <c r="F792" s="1"/>
    </row>
    <row r="793" spans="6:6">
      <c r="F793" s="1"/>
    </row>
    <row r="794" spans="6:6">
      <c r="F794" s="1"/>
    </row>
    <row r="795" spans="6:6">
      <c r="F795" s="1"/>
    </row>
    <row r="796" spans="6:6">
      <c r="F796" s="1"/>
    </row>
    <row r="797" spans="6:6">
      <c r="F797" s="1"/>
    </row>
    <row r="798" spans="6:6">
      <c r="F798" s="1"/>
    </row>
    <row r="799" spans="6:6">
      <c r="F799" s="1"/>
    </row>
    <row r="800" spans="6:6">
      <c r="F800" s="1"/>
    </row>
    <row r="801" spans="6:6">
      <c r="F801" s="1"/>
    </row>
    <row r="802" spans="6:6">
      <c r="F802" s="1"/>
    </row>
    <row r="803" spans="6:6">
      <c r="F803" s="1"/>
    </row>
    <row r="804" spans="6:6">
      <c r="F804" s="1"/>
    </row>
    <row r="805" spans="6:6">
      <c r="F805" s="1"/>
    </row>
    <row r="806" spans="6:6">
      <c r="F806" s="1"/>
    </row>
    <row r="807" spans="6:6">
      <c r="F807" s="1"/>
    </row>
    <row r="808" spans="6:6">
      <c r="F808" s="1"/>
    </row>
    <row r="809" spans="6:6">
      <c r="F809" s="1"/>
    </row>
    <row r="810" spans="6:6">
      <c r="F810" s="1"/>
    </row>
    <row r="811" spans="6:6">
      <c r="F811" s="1"/>
    </row>
    <row r="812" spans="6:6">
      <c r="F812" s="1"/>
    </row>
    <row r="813" spans="6:6">
      <c r="F813" s="1"/>
    </row>
    <row r="814" spans="6:6">
      <c r="F814" s="1"/>
    </row>
    <row r="815" spans="6:6">
      <c r="F815" s="1"/>
    </row>
    <row r="816" spans="6:6">
      <c r="F816" s="1"/>
    </row>
    <row r="817" spans="6:6">
      <c r="F817" s="1"/>
    </row>
    <row r="818" spans="6:6">
      <c r="F818" s="1"/>
    </row>
    <row r="819" spans="6:6">
      <c r="F819" s="1"/>
    </row>
    <row r="820" spans="6:6">
      <c r="F820" s="1"/>
    </row>
    <row r="821" spans="6:6">
      <c r="F821" s="1"/>
    </row>
    <row r="822" spans="6:6">
      <c r="F822" s="1"/>
    </row>
    <row r="823" spans="6:6">
      <c r="F823" s="1"/>
    </row>
    <row r="824" spans="6:6">
      <c r="F824" s="1"/>
    </row>
    <row r="825" spans="6:6">
      <c r="F825" s="1"/>
    </row>
    <row r="826" spans="6:6">
      <c r="F826" s="1"/>
    </row>
    <row r="827" spans="6:6">
      <c r="F827" s="1"/>
    </row>
    <row r="828" spans="6:6">
      <c r="F828" s="1"/>
    </row>
    <row r="829" spans="6:6">
      <c r="F829" s="1"/>
    </row>
    <row r="830" spans="6:6">
      <c r="F830" s="1"/>
    </row>
    <row r="831" spans="6:6">
      <c r="F831" s="1"/>
    </row>
    <row r="832" spans="6:6">
      <c r="F832" s="1"/>
    </row>
    <row r="833" spans="6:6">
      <c r="F833" s="1"/>
    </row>
    <row r="834" spans="6:6">
      <c r="F834" s="1"/>
    </row>
    <row r="835" spans="6:6">
      <c r="F835" s="1"/>
    </row>
    <row r="836" spans="6:6">
      <c r="F836" s="1"/>
    </row>
    <row r="837" spans="6:6">
      <c r="F837" s="1"/>
    </row>
    <row r="838" spans="6:6">
      <c r="F838" s="1"/>
    </row>
    <row r="839" spans="6:6">
      <c r="F839" s="1"/>
    </row>
    <row r="840" spans="6:6">
      <c r="F840" s="1"/>
    </row>
    <row r="841" spans="6:6">
      <c r="F841" s="1"/>
    </row>
    <row r="842" spans="6:6">
      <c r="F842" s="1"/>
    </row>
    <row r="843" spans="6:6">
      <c r="F843" s="1"/>
    </row>
    <row r="844" spans="6:6">
      <c r="F844" s="1"/>
    </row>
    <row r="845" spans="6:6">
      <c r="F845" s="1"/>
    </row>
    <row r="846" spans="6:6">
      <c r="F846" s="1"/>
    </row>
    <row r="847" spans="6:6">
      <c r="F847" s="1"/>
    </row>
    <row r="848" spans="6:6">
      <c r="F848" s="1"/>
    </row>
    <row r="849" spans="6:6">
      <c r="F849" s="1"/>
    </row>
    <row r="850" spans="6:6">
      <c r="F850" s="1"/>
    </row>
    <row r="851" spans="6:6">
      <c r="F851" s="1"/>
    </row>
    <row r="852" spans="6:6">
      <c r="F852" s="1"/>
    </row>
    <row r="853" spans="6:6">
      <c r="F853" s="1"/>
    </row>
    <row r="854" spans="6:6">
      <c r="F854" s="1"/>
    </row>
    <row r="855" spans="6:6">
      <c r="F855" s="1"/>
    </row>
    <row r="856" spans="6:6">
      <c r="F856" s="1"/>
    </row>
    <row r="857" spans="6:6">
      <c r="F857" s="1"/>
    </row>
    <row r="858" spans="6:6">
      <c r="F858" s="1"/>
    </row>
    <row r="859" spans="6:6">
      <c r="F859" s="1"/>
    </row>
    <row r="860" spans="6:6">
      <c r="F860" s="1"/>
    </row>
    <row r="861" spans="6:6">
      <c r="F861" s="1"/>
    </row>
    <row r="862" spans="6:6">
      <c r="F862" s="1"/>
    </row>
    <row r="863" spans="6:6">
      <c r="F863" s="1"/>
    </row>
    <row r="864" spans="6:6">
      <c r="F864" s="1"/>
    </row>
    <row r="865" spans="6:6">
      <c r="F865" s="1"/>
    </row>
    <row r="866" spans="6:6">
      <c r="F866" s="1"/>
    </row>
    <row r="867" spans="6:6">
      <c r="F867" s="1"/>
    </row>
    <row r="868" spans="6:6">
      <c r="F868" s="1"/>
    </row>
    <row r="869" spans="6:6">
      <c r="F869" s="1"/>
    </row>
    <row r="870" spans="6:6">
      <c r="F870" s="1"/>
    </row>
    <row r="871" spans="6:6">
      <c r="F871" s="1"/>
    </row>
    <row r="872" spans="6:6">
      <c r="F872" s="1"/>
    </row>
    <row r="873" spans="6:6">
      <c r="F873" s="1"/>
    </row>
    <row r="874" spans="6:6">
      <c r="F874" s="1"/>
    </row>
    <row r="875" spans="6:6">
      <c r="F875" s="1"/>
    </row>
    <row r="876" spans="6:6">
      <c r="F876" s="1"/>
    </row>
    <row r="877" spans="6:6">
      <c r="F877" s="1"/>
    </row>
    <row r="878" spans="6:6">
      <c r="F878" s="1"/>
    </row>
    <row r="879" spans="6:6">
      <c r="F879" s="1"/>
    </row>
    <row r="880" spans="6:6">
      <c r="F880" s="1"/>
    </row>
    <row r="881" spans="6:6">
      <c r="F881" s="1"/>
    </row>
    <row r="882" spans="6:6">
      <c r="F882" s="1"/>
    </row>
    <row r="883" spans="6:6">
      <c r="F883" s="1"/>
    </row>
    <row r="884" spans="6:6">
      <c r="F884" s="1"/>
    </row>
    <row r="885" spans="6:6">
      <c r="F885" s="1"/>
    </row>
    <row r="886" spans="6:6">
      <c r="F886" s="1"/>
    </row>
    <row r="887" spans="6:6">
      <c r="F887" s="1"/>
    </row>
    <row r="888" spans="6:6">
      <c r="F888" s="1"/>
    </row>
    <row r="889" spans="6:6">
      <c r="F889" s="1"/>
    </row>
    <row r="890" spans="6:6">
      <c r="F890" s="1"/>
    </row>
    <row r="891" spans="6:6">
      <c r="F891" s="1"/>
    </row>
    <row r="892" spans="6:6">
      <c r="F892" s="1"/>
    </row>
    <row r="893" spans="6:6">
      <c r="F893" s="1"/>
    </row>
    <row r="894" spans="6:6">
      <c r="F894" s="1"/>
    </row>
    <row r="895" spans="6:6">
      <c r="F895" s="1"/>
    </row>
    <row r="896" spans="6:6">
      <c r="F896" s="1"/>
    </row>
    <row r="897" spans="6:6">
      <c r="F897" s="1"/>
    </row>
    <row r="898" spans="6:6">
      <c r="F898" s="1"/>
    </row>
    <row r="899" spans="6:6">
      <c r="F899" s="1"/>
    </row>
    <row r="900" spans="6:6">
      <c r="F900" s="1"/>
    </row>
    <row r="901" spans="6:6">
      <c r="F901" s="1"/>
    </row>
    <row r="902" spans="6:6">
      <c r="F902" s="1"/>
    </row>
    <row r="903" spans="6:6">
      <c r="F903" s="1"/>
    </row>
    <row r="904" spans="6:6">
      <c r="F904" s="1"/>
    </row>
    <row r="905" spans="6:6">
      <c r="F905" s="1"/>
    </row>
    <row r="906" spans="6:6">
      <c r="F906" s="1"/>
    </row>
    <row r="907" spans="6:6">
      <c r="F907" s="1"/>
    </row>
    <row r="908" spans="6:6">
      <c r="F908" s="1"/>
    </row>
    <row r="909" spans="6:6">
      <c r="F909" s="1"/>
    </row>
    <row r="910" spans="6:6">
      <c r="F910" s="1"/>
    </row>
    <row r="911" spans="6:6">
      <c r="F911" s="1"/>
    </row>
    <row r="912" spans="6:6">
      <c r="F912" s="1"/>
    </row>
    <row r="913" spans="6:6">
      <c r="F913" s="1"/>
    </row>
    <row r="914" spans="6:6">
      <c r="F914" s="1"/>
    </row>
    <row r="915" spans="6:6">
      <c r="F915" s="1"/>
    </row>
    <row r="916" spans="6:6">
      <c r="F916" s="1"/>
    </row>
    <row r="917" spans="6:6">
      <c r="F917" s="1"/>
    </row>
    <row r="918" spans="6:6">
      <c r="F918" s="1"/>
    </row>
    <row r="919" spans="6:6">
      <c r="F919" s="1"/>
    </row>
    <row r="920" spans="6:6">
      <c r="F920" s="1"/>
    </row>
    <row r="921" spans="6:6">
      <c r="F921" s="1"/>
    </row>
    <row r="922" spans="6:6">
      <c r="F922" s="1"/>
    </row>
    <row r="923" spans="6:6">
      <c r="F923" s="1"/>
    </row>
    <row r="924" spans="6:6">
      <c r="F924" s="1"/>
    </row>
    <row r="925" spans="6:6">
      <c r="F925" s="1"/>
    </row>
    <row r="926" spans="6:6">
      <c r="F926" s="1"/>
    </row>
    <row r="927" spans="6:6">
      <c r="F927" s="1"/>
    </row>
    <row r="928" spans="6:6">
      <c r="F928" s="1"/>
    </row>
    <row r="929" spans="6:6">
      <c r="F929" s="1"/>
    </row>
    <row r="930" spans="6:6">
      <c r="F930" s="1"/>
    </row>
    <row r="931" spans="6:6">
      <c r="F931" s="1"/>
    </row>
    <row r="932" spans="6:6">
      <c r="F932" s="1"/>
    </row>
    <row r="933" spans="6:6">
      <c r="F933" s="1"/>
    </row>
    <row r="934" spans="6:6">
      <c r="F934" s="1"/>
    </row>
    <row r="935" spans="6:6">
      <c r="F935" s="1"/>
    </row>
    <row r="936" spans="6:6">
      <c r="F936" s="1"/>
    </row>
    <row r="937" spans="6:6">
      <c r="F937" s="1"/>
    </row>
    <row r="938" spans="6:6">
      <c r="F938" s="1"/>
    </row>
    <row r="939" spans="6:6">
      <c r="F939" s="1"/>
    </row>
    <row r="940" spans="6:6">
      <c r="F940" s="1"/>
    </row>
    <row r="941" spans="6:6">
      <c r="F941" s="1"/>
    </row>
    <row r="942" spans="6:6">
      <c r="F942" s="1"/>
    </row>
    <row r="943" spans="6:6">
      <c r="F943" s="1"/>
    </row>
    <row r="944" spans="6:6">
      <c r="F944" s="1"/>
    </row>
    <row r="945" spans="6:6">
      <c r="F945" s="1"/>
    </row>
    <row r="946" spans="6:6">
      <c r="F946" s="1"/>
    </row>
    <row r="947" spans="6:6">
      <c r="F947" s="1"/>
    </row>
    <row r="948" spans="6:6">
      <c r="F948" s="1"/>
    </row>
    <row r="949" spans="6:6">
      <c r="F949" s="1"/>
    </row>
    <row r="950" spans="6:6">
      <c r="F950" s="1"/>
    </row>
    <row r="951" spans="6:6">
      <c r="F951" s="1"/>
    </row>
    <row r="952" spans="6:6">
      <c r="F952" s="1"/>
    </row>
    <row r="953" spans="6:6">
      <c r="F953" s="1"/>
    </row>
    <row r="954" spans="6:6">
      <c r="F954" s="1"/>
    </row>
    <row r="955" spans="6:6">
      <c r="F955" s="1"/>
    </row>
    <row r="956" spans="6:6">
      <c r="F956" s="1"/>
    </row>
    <row r="957" spans="6:6">
      <c r="F957" s="1"/>
    </row>
    <row r="958" spans="6:6">
      <c r="F958" s="1"/>
    </row>
    <row r="959" spans="6:6">
      <c r="F959" s="1"/>
    </row>
    <row r="960" spans="6:6">
      <c r="F960" s="1"/>
    </row>
    <row r="961" spans="6:6">
      <c r="F961" s="1"/>
    </row>
    <row r="962" spans="6:6">
      <c r="F962" s="1"/>
    </row>
    <row r="963" spans="6:6">
      <c r="F963" s="1"/>
    </row>
    <row r="964" spans="6:6">
      <c r="F964" s="1"/>
    </row>
    <row r="965" spans="6:6">
      <c r="F965" s="1"/>
    </row>
    <row r="966" spans="6:6">
      <c r="F966" s="1"/>
    </row>
    <row r="967" spans="6:6">
      <c r="F967" s="1"/>
    </row>
    <row r="968" spans="6:6">
      <c r="F968" s="1"/>
    </row>
    <row r="969" spans="6:6">
      <c r="F969" s="1"/>
    </row>
    <row r="970" spans="6:6">
      <c r="F970" s="1"/>
    </row>
    <row r="971" spans="6:6">
      <c r="F971" s="1"/>
    </row>
    <row r="972" spans="6:6">
      <c r="F972" s="1"/>
    </row>
    <row r="973" spans="6:6">
      <c r="F973" s="1"/>
    </row>
    <row r="974" spans="6:6">
      <c r="F974" s="1"/>
    </row>
    <row r="975" spans="6:6">
      <c r="F975" s="1"/>
    </row>
    <row r="976" spans="6:6">
      <c r="F976" s="1"/>
    </row>
    <row r="977" spans="6:6">
      <c r="F977" s="1"/>
    </row>
    <row r="978" spans="6:6">
      <c r="F978" s="1"/>
    </row>
    <row r="979" spans="6:6">
      <c r="F979" s="1"/>
    </row>
    <row r="980" spans="6:6">
      <c r="F980" s="1"/>
    </row>
    <row r="981" spans="6:6">
      <c r="F981" s="1"/>
    </row>
    <row r="982" spans="6:6">
      <c r="F982" s="1"/>
    </row>
    <row r="983" spans="6:6">
      <c r="F983" s="1"/>
    </row>
    <row r="984" spans="6:6">
      <c r="F984" s="1"/>
    </row>
    <row r="985" spans="6:6">
      <c r="F985" s="1"/>
    </row>
    <row r="986" spans="6:6">
      <c r="F986" s="1"/>
    </row>
    <row r="987" spans="6:6">
      <c r="F987" s="1"/>
    </row>
    <row r="988" spans="6:6">
      <c r="F988" s="1"/>
    </row>
    <row r="989" spans="6:6">
      <c r="F989" s="1"/>
    </row>
    <row r="990" spans="6:6">
      <c r="F990" s="1"/>
    </row>
    <row r="991" spans="6:6">
      <c r="F991" s="1"/>
    </row>
    <row r="992" spans="6:6">
      <c r="F992" s="1"/>
    </row>
    <row r="993" spans="6:6">
      <c r="F993" s="1"/>
    </row>
    <row r="994" spans="6:6">
      <c r="F994" s="1"/>
    </row>
    <row r="995" spans="6:6">
      <c r="F995" s="1"/>
    </row>
    <row r="996" spans="6:6">
      <c r="F996" s="1"/>
    </row>
    <row r="997" spans="6:6">
      <c r="F997" s="1"/>
    </row>
    <row r="998" spans="6:6">
      <c r="F998" s="1"/>
    </row>
    <row r="999" spans="6:6">
      <c r="F999" s="1"/>
    </row>
    <row r="1000" spans="6:6">
      <c r="F1000" s="1"/>
    </row>
    <row r="1001" spans="6:6">
      <c r="F1001" s="1"/>
    </row>
    <row r="1002" spans="6:6">
      <c r="F1002" s="1"/>
    </row>
    <row r="1003" spans="6:6">
      <c r="F1003" s="1"/>
    </row>
    <row r="1004" spans="6:6">
      <c r="F1004" s="1"/>
    </row>
    <row r="1005" spans="6:6">
      <c r="F1005" s="1"/>
    </row>
    <row r="1006" spans="6:6">
      <c r="F1006" s="1"/>
    </row>
    <row r="1007" spans="6:6">
      <c r="F1007" s="1"/>
    </row>
    <row r="1008" spans="6:6">
      <c r="F1008" s="1"/>
    </row>
    <row r="1009" spans="6:6">
      <c r="F1009" s="1"/>
    </row>
    <row r="1010" spans="6:6">
      <c r="F1010" s="1"/>
    </row>
    <row r="1011" spans="6:6">
      <c r="F1011" s="1"/>
    </row>
    <row r="1012" spans="6:6">
      <c r="F1012" s="1"/>
    </row>
    <row r="1013" spans="6:6">
      <c r="F1013" s="1"/>
    </row>
    <row r="1014" spans="6:6">
      <c r="F1014" s="1"/>
    </row>
    <row r="1015" spans="6:6">
      <c r="F1015" s="1"/>
    </row>
    <row r="1016" spans="6:6">
      <c r="F1016" s="1"/>
    </row>
    <row r="1017" spans="6:6">
      <c r="F1017" s="1"/>
    </row>
    <row r="1018" spans="6:6">
      <c r="F1018" s="1"/>
    </row>
    <row r="1019" spans="6:6">
      <c r="F1019" s="1"/>
    </row>
    <row r="1020" spans="6:6">
      <c r="F1020" s="1"/>
    </row>
    <row r="1021" spans="6:6">
      <c r="F1021" s="1"/>
    </row>
    <row r="1022" spans="6:6">
      <c r="F1022" s="1"/>
    </row>
    <row r="1023" spans="6:6">
      <c r="F1023" s="1"/>
    </row>
    <row r="1024" spans="6:6">
      <c r="F1024" s="1"/>
    </row>
    <row r="1025" spans="6:6">
      <c r="F1025" s="1"/>
    </row>
    <row r="1026" spans="6:6">
      <c r="F1026" s="1"/>
    </row>
    <row r="1027" spans="6:6">
      <c r="F1027" s="1"/>
    </row>
    <row r="1028" spans="6:6">
      <c r="F1028" s="1"/>
    </row>
    <row r="1029" spans="6:6">
      <c r="F1029" s="1"/>
    </row>
    <row r="1030" spans="6:6">
      <c r="F1030" s="1"/>
    </row>
    <row r="1031" spans="6:6">
      <c r="F1031" s="1"/>
    </row>
    <row r="1032" spans="6:6">
      <c r="F1032" s="1"/>
    </row>
    <row r="1033" spans="6:6">
      <c r="F1033" s="1"/>
    </row>
    <row r="1034" spans="6:6">
      <c r="F1034" s="1"/>
    </row>
    <row r="1035" spans="6:6">
      <c r="F1035" s="1"/>
    </row>
    <row r="1036" spans="6:6">
      <c r="F1036" s="1"/>
    </row>
    <row r="1037" spans="6:6">
      <c r="F1037" s="1"/>
    </row>
    <row r="1038" spans="6:6">
      <c r="F1038" s="1"/>
    </row>
    <row r="1039" spans="6:6">
      <c r="F1039" s="1"/>
    </row>
    <row r="1040" spans="6:6">
      <c r="F1040" s="1"/>
    </row>
    <row r="1041" spans="6:6">
      <c r="F1041" s="1"/>
    </row>
    <row r="1042" spans="6:6">
      <c r="F1042" s="1"/>
    </row>
    <row r="1043" spans="6:6">
      <c r="F1043" s="1"/>
    </row>
    <row r="1044" spans="6:6">
      <c r="F1044" s="1"/>
    </row>
    <row r="1045" spans="6:6">
      <c r="F1045" s="1"/>
    </row>
    <row r="1046" spans="6:6">
      <c r="F1046" s="1"/>
    </row>
    <row r="1047" spans="6:6">
      <c r="F1047" s="1"/>
    </row>
    <row r="1048" spans="6:6">
      <c r="F1048" s="1"/>
    </row>
    <row r="1049" spans="6:6">
      <c r="F1049" s="1"/>
    </row>
    <row r="1050" spans="6:6">
      <c r="F1050" s="1"/>
    </row>
    <row r="1051" spans="6:6">
      <c r="F1051" s="1"/>
    </row>
    <row r="1052" spans="6:6">
      <c r="F1052" s="1"/>
    </row>
    <row r="1053" spans="6:6">
      <c r="F1053" s="1"/>
    </row>
    <row r="1054" spans="6:6">
      <c r="F1054" s="1"/>
    </row>
    <row r="1055" spans="6:6">
      <c r="F1055" s="1"/>
    </row>
    <row r="1056" spans="6:6">
      <c r="F1056" s="1"/>
    </row>
    <row r="1057" spans="6:6">
      <c r="F1057" s="1"/>
    </row>
    <row r="1058" spans="6:6">
      <c r="F1058" s="1"/>
    </row>
    <row r="1059" spans="6:6">
      <c r="F1059" s="1"/>
    </row>
    <row r="1060" spans="6:6">
      <c r="F1060" s="1"/>
    </row>
    <row r="1061" spans="6:6">
      <c r="F1061" s="1"/>
    </row>
    <row r="1062" spans="6:6">
      <c r="F1062" s="1"/>
    </row>
    <row r="1063" spans="6:6">
      <c r="F1063" s="1"/>
    </row>
    <row r="1064" spans="6:6">
      <c r="F1064" s="1"/>
    </row>
    <row r="1065" spans="6:6">
      <c r="F1065" s="1"/>
    </row>
    <row r="1066" spans="6:6">
      <c r="F1066" s="1"/>
    </row>
    <row r="1067" spans="6:6">
      <c r="F1067" s="1"/>
    </row>
    <row r="1068" spans="6:6">
      <c r="F1068" s="1"/>
    </row>
    <row r="1069" spans="6:6">
      <c r="F1069" s="1"/>
    </row>
    <row r="1070" spans="6:6">
      <c r="F1070" s="1"/>
    </row>
    <row r="1071" spans="6:6">
      <c r="F1071" s="1"/>
    </row>
    <row r="1072" spans="6:6">
      <c r="F1072" s="1"/>
    </row>
    <row r="1073" spans="6:6">
      <c r="F1073" s="1"/>
    </row>
    <row r="1074" spans="6:6">
      <c r="F1074" s="1"/>
    </row>
    <row r="1075" spans="6:6">
      <c r="F1075" s="1"/>
    </row>
    <row r="1076" spans="6:6">
      <c r="F1076" s="1"/>
    </row>
    <row r="1077" spans="6:6">
      <c r="F1077" s="1"/>
    </row>
    <row r="1078" spans="6:6">
      <c r="F1078" s="1"/>
    </row>
    <row r="1079" spans="6:6">
      <c r="F1079" s="1"/>
    </row>
    <row r="1080" spans="6:6">
      <c r="F1080" s="1"/>
    </row>
    <row r="1081" spans="6:6">
      <c r="F1081" s="1"/>
    </row>
    <row r="1082" spans="6:6">
      <c r="F1082" s="1"/>
    </row>
    <row r="1083" spans="6:6">
      <c r="F1083" s="1"/>
    </row>
    <row r="1084" spans="6:6">
      <c r="F1084" s="1"/>
    </row>
    <row r="1085" spans="6:6">
      <c r="F1085" s="1"/>
    </row>
    <row r="1086" spans="6:6">
      <c r="F1086" s="1"/>
    </row>
    <row r="1087" spans="6:6">
      <c r="F1087" s="1"/>
    </row>
    <row r="1088" spans="6:6">
      <c r="F1088" s="1"/>
    </row>
    <row r="1089" spans="6:6">
      <c r="F1089" s="1"/>
    </row>
    <row r="1090" spans="6:6">
      <c r="F1090" s="1"/>
    </row>
    <row r="1091" spans="6:6">
      <c r="F1091" s="1"/>
    </row>
    <row r="1092" spans="6:6">
      <c r="F1092" s="1"/>
    </row>
    <row r="1093" spans="6:6">
      <c r="F1093" s="1"/>
    </row>
    <row r="1094" spans="6:6">
      <c r="F1094" s="1"/>
    </row>
    <row r="1095" spans="6:6">
      <c r="F1095" s="1"/>
    </row>
    <row r="1096" spans="6:6">
      <c r="F1096" s="1"/>
    </row>
    <row r="1097" spans="6:6">
      <c r="F1097" s="1"/>
    </row>
    <row r="1098" spans="6:6">
      <c r="F1098" s="1"/>
    </row>
    <row r="1099" spans="6:6">
      <c r="F1099" s="1"/>
    </row>
    <row r="1100" spans="6:6">
      <c r="F1100" s="1"/>
    </row>
    <row r="1101" spans="6:6">
      <c r="F1101" s="1"/>
    </row>
    <row r="1102" spans="6:6">
      <c r="F1102" s="1"/>
    </row>
    <row r="1103" spans="6:6">
      <c r="F1103" s="1"/>
    </row>
    <row r="1104" spans="6:6">
      <c r="F1104" s="1"/>
    </row>
    <row r="1105" spans="6:6">
      <c r="F1105" s="1"/>
    </row>
    <row r="1106" spans="6:6">
      <c r="F1106" s="1"/>
    </row>
    <row r="1107" spans="6:6">
      <c r="F1107" s="1"/>
    </row>
    <row r="1108" spans="6:6">
      <c r="F1108" s="1"/>
    </row>
    <row r="1109" spans="6:6">
      <c r="F1109" s="1"/>
    </row>
    <row r="1110" spans="6:6">
      <c r="F1110" s="1"/>
    </row>
    <row r="1111" spans="6:6">
      <c r="F1111" s="1"/>
    </row>
    <row r="1112" spans="6:6">
      <c r="F1112" s="1"/>
    </row>
    <row r="1113" spans="6:6">
      <c r="F1113" s="1"/>
    </row>
    <row r="1114" spans="6:6">
      <c r="F1114" s="1"/>
    </row>
    <row r="1115" spans="6:6">
      <c r="F1115" s="1"/>
    </row>
    <row r="1116" spans="6:6">
      <c r="F1116" s="1"/>
    </row>
    <row r="1117" spans="6:6">
      <c r="F1117" s="1"/>
    </row>
    <row r="1118" spans="6:6">
      <c r="F1118" s="1"/>
    </row>
    <row r="1119" spans="6:6">
      <c r="F1119" s="1"/>
    </row>
    <row r="1120" spans="6:6">
      <c r="F1120" s="1"/>
    </row>
    <row r="1121" spans="6:6">
      <c r="F1121" s="1"/>
    </row>
    <row r="1122" spans="6:6">
      <c r="F1122" s="1"/>
    </row>
    <row r="1123" spans="6:6">
      <c r="F1123" s="1"/>
    </row>
    <row r="1124" spans="6:6">
      <c r="F1124" s="1"/>
    </row>
    <row r="1125" spans="6:6">
      <c r="F1125" s="1"/>
    </row>
    <row r="1126" spans="6:6">
      <c r="F1126" s="1"/>
    </row>
    <row r="1127" spans="6:6">
      <c r="F1127" s="1"/>
    </row>
    <row r="1128" spans="6:6">
      <c r="F1128" s="1"/>
    </row>
    <row r="1129" spans="6:6">
      <c r="F1129" s="1"/>
    </row>
    <row r="1130" spans="6:6">
      <c r="F1130" s="1"/>
    </row>
    <row r="1131" spans="6:6">
      <c r="F1131" s="1"/>
    </row>
    <row r="1132" spans="6:6">
      <c r="F1132" s="1"/>
    </row>
    <row r="1133" spans="6:6">
      <c r="F1133" s="1"/>
    </row>
    <row r="1134" spans="6:6">
      <c r="F1134" s="1"/>
    </row>
    <row r="1135" spans="6:6">
      <c r="F1135" s="1"/>
    </row>
    <row r="1136" spans="6:6">
      <c r="F1136" s="1"/>
    </row>
    <row r="1137" spans="6:6">
      <c r="F1137" s="1"/>
    </row>
    <row r="1138" spans="6:6">
      <c r="F1138" s="1"/>
    </row>
    <row r="1139" spans="6:6">
      <c r="F1139" s="1"/>
    </row>
    <row r="1140" spans="6:6">
      <c r="F1140" s="1"/>
    </row>
    <row r="1141" spans="6:6">
      <c r="F1141" s="1"/>
    </row>
    <row r="1142" spans="6:6">
      <c r="F1142" s="1"/>
    </row>
    <row r="1143" spans="6:6">
      <c r="F1143" s="1"/>
    </row>
    <row r="1144" spans="6:6">
      <c r="F1144" s="1"/>
    </row>
    <row r="1145" spans="6:6">
      <c r="F1145" s="1"/>
    </row>
    <row r="1146" spans="6:6">
      <c r="F1146" s="1"/>
    </row>
    <row r="1147" spans="6:6">
      <c r="F1147" s="1"/>
    </row>
    <row r="1148" spans="6:6">
      <c r="F1148" s="1"/>
    </row>
    <row r="1149" spans="6:6">
      <c r="F1149" s="1"/>
    </row>
    <row r="1150" spans="6:6">
      <c r="F1150" s="1"/>
    </row>
    <row r="1151" spans="6:6">
      <c r="F1151" s="1"/>
    </row>
    <row r="1152" spans="6:6">
      <c r="F1152" s="1"/>
    </row>
    <row r="1153" spans="6:6">
      <c r="F1153" s="1"/>
    </row>
    <row r="1154" spans="6:6">
      <c r="F1154" s="1"/>
    </row>
    <row r="1155" spans="6:6">
      <c r="F1155" s="1"/>
    </row>
    <row r="1156" spans="6:6">
      <c r="F1156" s="1"/>
    </row>
    <row r="1157" spans="6:6">
      <c r="F1157" s="1"/>
    </row>
    <row r="1158" spans="6:6">
      <c r="F1158" s="1"/>
    </row>
    <row r="1159" spans="6:6">
      <c r="F1159" s="1"/>
    </row>
    <row r="1160" spans="6:6">
      <c r="F1160" s="1"/>
    </row>
    <row r="1161" spans="6:6">
      <c r="F1161" s="1"/>
    </row>
    <row r="1162" spans="6:6">
      <c r="F1162" s="1"/>
    </row>
    <row r="1163" spans="6:6">
      <c r="F1163" s="1"/>
    </row>
    <row r="1164" spans="6:6">
      <c r="F1164" s="1"/>
    </row>
    <row r="1165" spans="6:6">
      <c r="F1165" s="1"/>
    </row>
    <row r="1166" spans="6:6">
      <c r="F1166" s="1"/>
    </row>
    <row r="1167" spans="6:6">
      <c r="F1167" s="1"/>
    </row>
    <row r="1168" spans="6:6">
      <c r="F1168" s="1"/>
    </row>
    <row r="1169" spans="6:6">
      <c r="F1169" s="1"/>
    </row>
    <row r="1170" spans="6:6">
      <c r="F1170" s="1"/>
    </row>
    <row r="1171" spans="6:6">
      <c r="F1171" s="1"/>
    </row>
    <row r="1172" spans="6:6">
      <c r="F1172" s="1"/>
    </row>
    <row r="1173" spans="6:6">
      <c r="F1173" s="1"/>
    </row>
    <row r="1174" spans="6:6">
      <c r="F1174" s="1"/>
    </row>
    <row r="1175" spans="6:6">
      <c r="F1175" s="1"/>
    </row>
    <row r="1176" spans="6:6">
      <c r="F1176" s="1"/>
    </row>
    <row r="1177" spans="6:6">
      <c r="F1177" s="1"/>
    </row>
    <row r="1178" spans="6:6">
      <c r="F1178" s="1"/>
    </row>
    <row r="1179" spans="6:6">
      <c r="F1179" s="1"/>
    </row>
    <row r="1180" spans="6:6">
      <c r="F1180" s="1"/>
    </row>
    <row r="1181" spans="6:6">
      <c r="F1181" s="1"/>
    </row>
    <row r="1182" spans="6:6">
      <c r="F1182" s="1"/>
    </row>
    <row r="1183" spans="6:6">
      <c r="F1183" s="1"/>
    </row>
    <row r="1184" spans="6:6">
      <c r="F1184" s="1"/>
    </row>
    <row r="1185" spans="6:6">
      <c r="F1185" s="1"/>
    </row>
    <row r="1186" spans="6:6">
      <c r="F1186" s="1"/>
    </row>
    <row r="1187" spans="6:6">
      <c r="F1187" s="1"/>
    </row>
    <row r="1188" spans="6:6">
      <c r="F1188" s="1"/>
    </row>
    <row r="1189" spans="6:6">
      <c r="F1189" s="1"/>
    </row>
    <row r="1190" spans="6:6">
      <c r="F1190" s="1"/>
    </row>
    <row r="1191" spans="6:6">
      <c r="F1191" s="1"/>
    </row>
    <row r="1192" spans="6:6">
      <c r="F1192" s="1"/>
    </row>
    <row r="1193" spans="6:6">
      <c r="F1193" s="1"/>
    </row>
    <row r="1194" spans="6:6">
      <c r="F1194" s="1"/>
    </row>
    <row r="1195" spans="6:6">
      <c r="F1195" s="1"/>
    </row>
    <row r="1196" spans="6:6">
      <c r="F1196" s="1"/>
    </row>
    <row r="1197" spans="6:6">
      <c r="F1197" s="1"/>
    </row>
    <row r="1198" spans="6:6">
      <c r="F1198" s="1"/>
    </row>
    <row r="1199" spans="6:6">
      <c r="F1199" s="1"/>
    </row>
    <row r="1200" spans="6:6">
      <c r="F1200" s="1"/>
    </row>
    <row r="1201" spans="6:6">
      <c r="F1201" s="1"/>
    </row>
    <row r="1202" spans="6:6">
      <c r="F1202" s="1"/>
    </row>
    <row r="1203" spans="6:6">
      <c r="F1203" s="1"/>
    </row>
    <row r="1204" spans="6:6">
      <c r="F1204" s="1"/>
    </row>
    <row r="1205" spans="6:6">
      <c r="F1205" s="1"/>
    </row>
    <row r="1206" spans="6:6">
      <c r="F1206" s="1"/>
    </row>
    <row r="1207" spans="6:6">
      <c r="F1207" s="1"/>
    </row>
    <row r="1208" spans="6:6">
      <c r="F1208" s="1"/>
    </row>
    <row r="1209" spans="6:6">
      <c r="F1209" s="1"/>
    </row>
    <row r="1210" spans="6:6">
      <c r="F1210" s="1"/>
    </row>
    <row r="1211" spans="6:6">
      <c r="F1211" s="1"/>
    </row>
    <row r="1212" spans="6:6">
      <c r="F1212" s="1"/>
    </row>
    <row r="1213" spans="6:6">
      <c r="F1213" s="1"/>
    </row>
    <row r="1214" spans="6:6">
      <c r="F1214" s="1"/>
    </row>
    <row r="1215" spans="6:6">
      <c r="F1215" s="1"/>
    </row>
    <row r="1216" spans="6:6">
      <c r="F1216" s="1"/>
    </row>
    <row r="1217" spans="6:6">
      <c r="F1217" s="1"/>
    </row>
    <row r="1218" spans="6:6">
      <c r="F1218" s="1"/>
    </row>
    <row r="1219" spans="6:6">
      <c r="F1219" s="1"/>
    </row>
    <row r="1220" spans="6:6">
      <c r="F1220" s="1"/>
    </row>
    <row r="1221" spans="6:6">
      <c r="F1221" s="1"/>
    </row>
    <row r="1222" spans="6:6">
      <c r="F1222" s="1"/>
    </row>
    <row r="1223" spans="6:6">
      <c r="F1223" s="1"/>
    </row>
    <row r="1224" spans="6:6">
      <c r="F1224" s="1"/>
    </row>
    <row r="1225" spans="6:6">
      <c r="F1225" s="1"/>
    </row>
    <row r="1226" spans="6:6">
      <c r="F1226" s="1"/>
    </row>
    <row r="1227" spans="6:6">
      <c r="F1227" s="1"/>
    </row>
    <row r="1228" spans="6:6">
      <c r="F1228" s="1"/>
    </row>
    <row r="1229" spans="6:6">
      <c r="F1229" s="1"/>
    </row>
    <row r="1230" spans="6:6">
      <c r="F1230" s="1"/>
    </row>
    <row r="1231" spans="6:6">
      <c r="F1231" s="1"/>
    </row>
    <row r="1232" spans="6:6">
      <c r="F1232" s="1"/>
    </row>
    <row r="1233" spans="6:6">
      <c r="F1233" s="1"/>
    </row>
    <row r="1234" spans="6:6">
      <c r="F1234" s="1"/>
    </row>
    <row r="1235" spans="6:6">
      <c r="F1235" s="1"/>
    </row>
    <row r="1236" spans="6:6">
      <c r="F1236" s="1"/>
    </row>
    <row r="1237" spans="6:6">
      <c r="F1237" s="1"/>
    </row>
    <row r="1238" spans="6:6">
      <c r="F1238" s="1"/>
    </row>
    <row r="1239" spans="6:6">
      <c r="F1239" s="1"/>
    </row>
    <row r="1240" spans="6:6">
      <c r="F1240" s="1"/>
    </row>
    <row r="1241" spans="6:6">
      <c r="F1241" s="1"/>
    </row>
    <row r="1242" spans="6:6">
      <c r="F1242" s="1"/>
    </row>
    <row r="1243" spans="6:6">
      <c r="F1243" s="1"/>
    </row>
    <row r="1244" spans="6:6">
      <c r="F1244" s="1"/>
    </row>
    <row r="1245" spans="6:6">
      <c r="F1245" s="1"/>
    </row>
    <row r="1246" spans="6:6">
      <c r="F1246" s="1"/>
    </row>
    <row r="1247" spans="6:6">
      <c r="F1247" s="1"/>
    </row>
    <row r="1248" spans="6:6">
      <c r="F1248" s="1"/>
    </row>
    <row r="1249" spans="6:6">
      <c r="F1249" s="1"/>
    </row>
    <row r="1250" spans="6:6">
      <c r="F1250" s="1"/>
    </row>
    <row r="1251" spans="6:6">
      <c r="F1251" s="1"/>
    </row>
    <row r="1252" spans="6:6">
      <c r="F1252" s="1"/>
    </row>
    <row r="1253" spans="6:6">
      <c r="F1253" s="1"/>
    </row>
    <row r="1254" spans="6:6">
      <c r="F1254" s="1"/>
    </row>
    <row r="1255" spans="6:6">
      <c r="F1255" s="1"/>
    </row>
    <row r="1256" spans="6:6">
      <c r="F1256" s="1"/>
    </row>
    <row r="1257" spans="6:6">
      <c r="F1257" s="1"/>
    </row>
    <row r="1258" spans="6:6">
      <c r="F1258" s="1"/>
    </row>
    <row r="1259" spans="6:6">
      <c r="F1259" s="1"/>
    </row>
    <row r="1260" spans="6:6">
      <c r="F1260" s="1"/>
    </row>
    <row r="1261" spans="6:6">
      <c r="F1261" s="1"/>
    </row>
    <row r="1262" spans="6:6">
      <c r="F1262" s="1"/>
    </row>
    <row r="1263" spans="6:6">
      <c r="F1263" s="1"/>
    </row>
    <row r="1264" spans="6:6">
      <c r="F1264" s="1"/>
    </row>
    <row r="1265" spans="6:6">
      <c r="F1265" s="1"/>
    </row>
    <row r="1266" spans="6:6">
      <c r="F1266" s="1"/>
    </row>
    <row r="1267" spans="6:6">
      <c r="F1267" s="1"/>
    </row>
    <row r="1268" spans="6:6">
      <c r="F1268" s="1"/>
    </row>
    <row r="1269" spans="6:6">
      <c r="F1269" s="1"/>
    </row>
    <row r="1270" spans="6:6">
      <c r="F1270" s="1"/>
    </row>
    <row r="1271" spans="6:6">
      <c r="F1271" s="1"/>
    </row>
    <row r="1272" spans="6:6">
      <c r="F1272" s="1"/>
    </row>
    <row r="1273" spans="6:6">
      <c r="F1273" s="1"/>
    </row>
    <row r="1274" spans="6:6">
      <c r="F1274" s="1"/>
    </row>
    <row r="1275" spans="6:6">
      <c r="F1275" s="1"/>
    </row>
    <row r="1276" spans="6:6">
      <c r="F1276" s="1"/>
    </row>
    <row r="1277" spans="6:6">
      <c r="F1277" s="1"/>
    </row>
    <row r="1278" spans="6:6">
      <c r="F1278" s="1"/>
    </row>
    <row r="1279" spans="6:6">
      <c r="F1279" s="1"/>
    </row>
    <row r="1280" spans="6:6">
      <c r="F1280" s="1"/>
    </row>
    <row r="1281" spans="6:6">
      <c r="F1281" s="1"/>
    </row>
    <row r="1282" spans="6:6">
      <c r="F1282" s="1"/>
    </row>
    <row r="1283" spans="6:6">
      <c r="F1283" s="1"/>
    </row>
    <row r="1284" spans="6:6">
      <c r="F1284" s="1"/>
    </row>
    <row r="1285" spans="6:6">
      <c r="F1285" s="1"/>
    </row>
    <row r="1286" spans="6:6">
      <c r="F1286" s="1"/>
    </row>
    <row r="1287" spans="6:6">
      <c r="F1287" s="1"/>
    </row>
    <row r="1288" spans="6:6">
      <c r="F1288" s="1"/>
    </row>
    <row r="1289" spans="6:6">
      <c r="F1289" s="1"/>
    </row>
    <row r="1290" spans="6:6">
      <c r="F1290" s="1"/>
    </row>
    <row r="1291" spans="6:6">
      <c r="F1291" s="1"/>
    </row>
    <row r="1292" spans="6:6">
      <c r="F1292" s="1"/>
    </row>
    <row r="1293" spans="6:6">
      <c r="F1293" s="1"/>
    </row>
    <row r="1294" spans="6:6">
      <c r="F1294" s="1"/>
    </row>
    <row r="1295" spans="6:6">
      <c r="F1295" s="1"/>
    </row>
    <row r="1296" spans="6:6">
      <c r="F1296" s="1"/>
    </row>
    <row r="1297" spans="6:6">
      <c r="F1297" s="1"/>
    </row>
    <row r="1298" spans="6:6">
      <c r="F1298" s="1"/>
    </row>
    <row r="1299" spans="6:6">
      <c r="F1299" s="1"/>
    </row>
    <row r="1300" spans="6:6">
      <c r="F1300" s="1"/>
    </row>
    <row r="1301" spans="6:6">
      <c r="F1301" s="1"/>
    </row>
    <row r="1302" spans="6:6">
      <c r="F1302" s="1"/>
    </row>
    <row r="1303" spans="6:6">
      <c r="F1303" s="1"/>
    </row>
    <row r="1304" spans="6:6">
      <c r="F1304" s="1"/>
    </row>
    <row r="1305" spans="6:6">
      <c r="F1305" s="1"/>
    </row>
    <row r="1306" spans="6:6">
      <c r="F1306" s="1"/>
    </row>
    <row r="1307" spans="6:6">
      <c r="F1307" s="1"/>
    </row>
    <row r="1308" spans="6:6">
      <c r="F1308" s="1"/>
    </row>
    <row r="1309" spans="6:6">
      <c r="F1309" s="1"/>
    </row>
    <row r="1310" spans="6:6">
      <c r="F1310" s="1"/>
    </row>
    <row r="1311" spans="6:6">
      <c r="F1311" s="1"/>
    </row>
    <row r="1312" spans="6:6">
      <c r="F1312" s="1"/>
    </row>
    <row r="1313" spans="6:6">
      <c r="F1313" s="1"/>
    </row>
    <row r="1314" spans="6:6">
      <c r="F1314" s="1"/>
    </row>
    <row r="1315" spans="6:6">
      <c r="F1315" s="1"/>
    </row>
    <row r="1316" spans="6:6">
      <c r="F1316" s="1"/>
    </row>
    <row r="1317" spans="6:6">
      <c r="F1317" s="1"/>
    </row>
    <row r="1318" spans="6:6">
      <c r="F1318" s="1"/>
    </row>
    <row r="1319" spans="6:6">
      <c r="F1319" s="1"/>
    </row>
    <row r="1320" spans="6:6">
      <c r="F1320" s="1"/>
    </row>
    <row r="1321" spans="6:6">
      <c r="F1321" s="1"/>
    </row>
    <row r="1322" spans="6:6">
      <c r="F1322" s="1"/>
    </row>
    <row r="1323" spans="6:6">
      <c r="F1323" s="1"/>
    </row>
    <row r="1324" spans="6:6">
      <c r="F1324" s="1"/>
    </row>
    <row r="1325" spans="6:6">
      <c r="F1325" s="1"/>
    </row>
    <row r="1326" spans="6:6">
      <c r="F1326" s="1"/>
    </row>
    <row r="1327" spans="6:6">
      <c r="F1327" s="1"/>
    </row>
    <row r="1328" spans="6:6">
      <c r="F1328" s="1"/>
    </row>
    <row r="1329" spans="6:6">
      <c r="F1329" s="1"/>
    </row>
    <row r="1330" spans="6:6">
      <c r="F1330" s="1"/>
    </row>
    <row r="1331" spans="6:6">
      <c r="F1331" s="1"/>
    </row>
    <row r="1332" spans="6:6">
      <c r="F1332" s="1"/>
    </row>
    <row r="1333" spans="6:6">
      <c r="F1333" s="1"/>
    </row>
    <row r="1334" spans="6:6">
      <c r="F1334" s="1"/>
    </row>
    <row r="1335" spans="6:6">
      <c r="F1335" s="1"/>
    </row>
    <row r="1336" spans="6:6">
      <c r="F1336" s="1"/>
    </row>
    <row r="1337" spans="6:6">
      <c r="F1337" s="1"/>
    </row>
    <row r="1338" spans="6:6">
      <c r="F1338" s="1"/>
    </row>
    <row r="1339" spans="6:6">
      <c r="F1339" s="1"/>
    </row>
    <row r="1340" spans="6:6">
      <c r="F1340" s="1"/>
    </row>
    <row r="1341" spans="6:6">
      <c r="F1341" s="1"/>
    </row>
    <row r="1342" spans="6:6">
      <c r="F1342" s="1"/>
    </row>
    <row r="1343" spans="6:6">
      <c r="F1343" s="1"/>
    </row>
    <row r="1344" spans="6:6">
      <c r="F1344" s="1"/>
    </row>
    <row r="1345" spans="6:6">
      <c r="F1345" s="1"/>
    </row>
    <row r="1346" spans="6:6">
      <c r="F1346" s="1"/>
    </row>
    <row r="1347" spans="6:6">
      <c r="F1347" s="1"/>
    </row>
    <row r="1348" spans="6:6">
      <c r="F1348" s="1"/>
    </row>
    <row r="1349" spans="6:6">
      <c r="F1349" s="1"/>
    </row>
    <row r="1350" spans="6:6">
      <c r="F1350" s="1"/>
    </row>
    <row r="1351" spans="6:6">
      <c r="F1351" s="1"/>
    </row>
    <row r="1352" spans="6:6">
      <c r="F1352" s="1"/>
    </row>
    <row r="1353" spans="6:6">
      <c r="F1353" s="1"/>
    </row>
    <row r="1354" spans="6:6">
      <c r="F1354" s="1"/>
    </row>
    <row r="1355" spans="6:6">
      <c r="F1355" s="1"/>
    </row>
    <row r="1356" spans="6:6">
      <c r="F1356" s="1"/>
    </row>
    <row r="1357" spans="6:6">
      <c r="F1357" s="1"/>
    </row>
    <row r="1358" spans="6:6">
      <c r="F1358" s="1"/>
    </row>
    <row r="1359" spans="6:6">
      <c r="F1359" s="1"/>
    </row>
    <row r="1360" spans="6:6">
      <c r="F1360" s="1"/>
    </row>
    <row r="1361" spans="6:6">
      <c r="F1361" s="1"/>
    </row>
    <row r="1362" spans="6:6">
      <c r="F1362" s="1"/>
    </row>
    <row r="1363" spans="6:6">
      <c r="F1363" s="1"/>
    </row>
    <row r="1364" spans="6:6">
      <c r="F1364" s="1"/>
    </row>
    <row r="1365" spans="6:6">
      <c r="F1365" s="1"/>
    </row>
    <row r="1366" spans="6:6">
      <c r="F1366" s="1"/>
    </row>
    <row r="1367" spans="6:6">
      <c r="F1367" s="1"/>
    </row>
    <row r="1368" spans="6:6">
      <c r="F1368" s="1"/>
    </row>
    <row r="1369" spans="6:6">
      <c r="F1369" s="1"/>
    </row>
    <row r="1370" spans="6:6">
      <c r="F1370" s="1"/>
    </row>
    <row r="1371" spans="6:6">
      <c r="F1371" s="1"/>
    </row>
    <row r="1372" spans="6:6">
      <c r="F1372" s="1"/>
    </row>
    <row r="1373" spans="6:6">
      <c r="F1373" s="1"/>
    </row>
    <row r="1374" spans="6:6">
      <c r="F1374" s="1"/>
    </row>
    <row r="1375" spans="6:6">
      <c r="F1375" s="1"/>
    </row>
    <row r="1376" spans="6:6">
      <c r="F1376" s="1"/>
    </row>
    <row r="1377" spans="6:6">
      <c r="F1377" s="1"/>
    </row>
    <row r="1378" spans="6:6">
      <c r="F1378" s="1"/>
    </row>
    <row r="1379" spans="6:6">
      <c r="F1379" s="1"/>
    </row>
    <row r="1380" spans="6:6">
      <c r="F1380" s="1"/>
    </row>
    <row r="1381" spans="6:6">
      <c r="F1381" s="1"/>
    </row>
    <row r="1382" spans="6:6">
      <c r="F1382" s="1"/>
    </row>
    <row r="1383" spans="6:6">
      <c r="F1383" s="1"/>
    </row>
    <row r="1384" spans="6:6">
      <c r="F1384" s="1"/>
    </row>
    <row r="1385" spans="6:6">
      <c r="F1385" s="1"/>
    </row>
    <row r="1386" spans="6:6">
      <c r="F1386" s="1"/>
    </row>
    <row r="1387" spans="6:6">
      <c r="F1387" s="1"/>
    </row>
    <row r="1388" spans="6:6">
      <c r="F1388" s="1"/>
    </row>
    <row r="1389" spans="6:6">
      <c r="F1389" s="1"/>
    </row>
    <row r="1390" spans="6:6">
      <c r="F1390" s="1"/>
    </row>
    <row r="1391" spans="6:6">
      <c r="F1391" s="1"/>
    </row>
    <row r="1392" spans="6:6">
      <c r="F1392" s="1"/>
    </row>
    <row r="1393" spans="6:6">
      <c r="F1393" s="1"/>
    </row>
    <row r="1394" spans="6:6">
      <c r="F1394" s="1"/>
    </row>
    <row r="1395" spans="6:6">
      <c r="F1395" s="1"/>
    </row>
    <row r="1396" spans="6:6">
      <c r="F1396" s="1"/>
    </row>
    <row r="1397" spans="6:6">
      <c r="F1397" s="1"/>
    </row>
    <row r="1398" spans="6:6">
      <c r="F1398" s="1"/>
    </row>
    <row r="1399" spans="6:6">
      <c r="F1399" s="1"/>
    </row>
    <row r="1400" spans="6:6">
      <c r="F1400" s="1"/>
    </row>
    <row r="1401" spans="6:6">
      <c r="F1401" s="1"/>
    </row>
    <row r="1402" spans="6:6">
      <c r="F1402" s="1"/>
    </row>
    <row r="1403" spans="6:6">
      <c r="F1403" s="1"/>
    </row>
    <row r="1404" spans="6:6">
      <c r="F1404" s="1"/>
    </row>
    <row r="1405" spans="6:6">
      <c r="F1405" s="1"/>
    </row>
    <row r="1406" spans="6:6">
      <c r="F1406" s="1"/>
    </row>
    <row r="1407" spans="6:6">
      <c r="F1407" s="1"/>
    </row>
    <row r="1408" spans="6:6">
      <c r="F1408" s="1"/>
    </row>
    <row r="1409" spans="6:6">
      <c r="F1409" s="1"/>
    </row>
    <row r="1410" spans="6:6">
      <c r="F1410" s="1"/>
    </row>
    <row r="1411" spans="6:6">
      <c r="F1411" s="1"/>
    </row>
    <row r="1412" spans="6:6">
      <c r="F1412" s="1"/>
    </row>
    <row r="1413" spans="6:6">
      <c r="F1413" s="1"/>
    </row>
    <row r="1414" spans="6:6">
      <c r="F1414" s="1"/>
    </row>
    <row r="1415" spans="6:6">
      <c r="F1415" s="1"/>
    </row>
    <row r="1416" spans="6:6">
      <c r="F1416" s="1"/>
    </row>
    <row r="1417" spans="6:6">
      <c r="F1417" s="1"/>
    </row>
    <row r="1418" spans="6:6">
      <c r="F1418" s="1"/>
    </row>
    <row r="1419" spans="6:6">
      <c r="F1419" s="1"/>
    </row>
    <row r="1420" spans="6:6">
      <c r="F1420" s="1"/>
    </row>
    <row r="1421" spans="6:6">
      <c r="F1421" s="1"/>
    </row>
    <row r="1422" spans="6:6">
      <c r="F1422" s="1"/>
    </row>
    <row r="1423" spans="6:6">
      <c r="F1423" s="1"/>
    </row>
    <row r="1424" spans="6:6">
      <c r="F1424" s="1"/>
    </row>
    <row r="1425" spans="6:6">
      <c r="F1425" s="1"/>
    </row>
    <row r="1426" spans="6:6">
      <c r="F1426" s="1"/>
    </row>
    <row r="1427" spans="6:6">
      <c r="F1427" s="1"/>
    </row>
    <row r="1428" spans="6:6">
      <c r="F1428" s="1"/>
    </row>
    <row r="1429" spans="6:6">
      <c r="F1429" s="1"/>
    </row>
    <row r="1430" spans="6:6">
      <c r="F1430" s="1"/>
    </row>
    <row r="1431" spans="6:6">
      <c r="F1431" s="1"/>
    </row>
    <row r="1432" spans="6:6">
      <c r="F1432" s="1"/>
    </row>
    <row r="1433" spans="6:6">
      <c r="F1433" s="1"/>
    </row>
    <row r="1434" spans="6:6">
      <c r="F1434" s="1"/>
    </row>
    <row r="1435" spans="6:6">
      <c r="F1435" s="1"/>
    </row>
    <row r="1436" spans="6:6">
      <c r="F1436" s="1"/>
    </row>
    <row r="1437" spans="6:6">
      <c r="F1437" s="1"/>
    </row>
    <row r="1438" spans="6:6">
      <c r="F1438" s="1"/>
    </row>
    <row r="1439" spans="6:6">
      <c r="F1439" s="1"/>
    </row>
    <row r="1440" spans="6:6">
      <c r="F1440" s="1"/>
    </row>
    <row r="1441" spans="6:6">
      <c r="F1441" s="1"/>
    </row>
    <row r="1442" spans="6:6">
      <c r="F1442" s="1"/>
    </row>
    <row r="1443" spans="6:6">
      <c r="F1443" s="1"/>
    </row>
    <row r="1444" spans="6:6">
      <c r="F1444" s="1"/>
    </row>
    <row r="1445" spans="6:6">
      <c r="F1445" s="1"/>
    </row>
    <row r="1446" spans="6:6">
      <c r="F1446" s="1"/>
    </row>
    <row r="1447" spans="6:6">
      <c r="F1447" s="1"/>
    </row>
    <row r="1448" spans="6:6">
      <c r="F1448" s="1"/>
    </row>
    <row r="1449" spans="6:6">
      <c r="F1449" s="1"/>
    </row>
    <row r="1450" spans="6:6">
      <c r="F1450" s="1"/>
    </row>
    <row r="1451" spans="6:6">
      <c r="F1451" s="1"/>
    </row>
    <row r="1452" spans="6:6">
      <c r="F1452" s="1"/>
    </row>
    <row r="1453" spans="6:6">
      <c r="F1453" s="1"/>
    </row>
    <row r="1454" spans="6:6">
      <c r="F1454" s="1"/>
    </row>
    <row r="1455" spans="6:6">
      <c r="F1455" s="1"/>
    </row>
    <row r="1456" spans="6:6">
      <c r="F1456" s="1"/>
    </row>
    <row r="1457" spans="6:6">
      <c r="F1457" s="1"/>
    </row>
    <row r="1458" spans="6:6">
      <c r="F1458" s="1"/>
    </row>
    <row r="1459" spans="6:6">
      <c r="F1459" s="1"/>
    </row>
    <row r="1460" spans="6:6">
      <c r="F1460" s="1"/>
    </row>
    <row r="1461" spans="6:6">
      <c r="F1461" s="1"/>
    </row>
    <row r="1462" spans="6:6">
      <c r="F1462" s="1"/>
    </row>
    <row r="1463" spans="6:6">
      <c r="F1463" s="1"/>
    </row>
    <row r="1464" spans="6:6">
      <c r="F1464" s="1"/>
    </row>
    <row r="1465" spans="6:6">
      <c r="F1465" s="1"/>
    </row>
    <row r="1466" spans="6:6">
      <c r="F1466" s="1"/>
    </row>
    <row r="1467" spans="6:6">
      <c r="F1467" s="1"/>
    </row>
    <row r="1468" spans="6:6">
      <c r="F1468" s="1"/>
    </row>
    <row r="1469" spans="6:6">
      <c r="F1469" s="1"/>
    </row>
    <row r="1470" spans="6:6">
      <c r="F1470" s="1"/>
    </row>
    <row r="1471" spans="6:6">
      <c r="F1471" s="1"/>
    </row>
    <row r="1472" spans="6:6">
      <c r="F1472" s="1"/>
    </row>
    <row r="1473" spans="6:6">
      <c r="F1473" s="1"/>
    </row>
    <row r="1474" spans="6:6">
      <c r="F1474" s="1"/>
    </row>
    <row r="1475" spans="6:6">
      <c r="F1475" s="1"/>
    </row>
    <row r="1476" spans="6:6">
      <c r="F1476" s="1"/>
    </row>
    <row r="1477" spans="6:6">
      <c r="F1477" s="1"/>
    </row>
    <row r="1478" spans="6:6">
      <c r="F1478" s="1"/>
    </row>
    <row r="1479" spans="6:6">
      <c r="F1479" s="1"/>
    </row>
    <row r="1480" spans="6:6">
      <c r="F1480" s="1"/>
    </row>
    <row r="1481" spans="6:6">
      <c r="F1481" s="1"/>
    </row>
    <row r="1482" spans="6:6">
      <c r="F1482" s="1"/>
    </row>
    <row r="1483" spans="6:6">
      <c r="F1483" s="1"/>
    </row>
    <row r="1484" spans="6:6">
      <c r="F1484" s="1"/>
    </row>
    <row r="1485" spans="6:6">
      <c r="F1485" s="1"/>
    </row>
    <row r="1486" spans="6:6">
      <c r="F1486" s="1"/>
    </row>
    <row r="1487" spans="6:6">
      <c r="F1487" s="1"/>
    </row>
    <row r="1488" spans="6:6">
      <c r="F1488" s="1"/>
    </row>
    <row r="1489" spans="6:6">
      <c r="F1489" s="1"/>
    </row>
    <row r="1490" spans="6:6">
      <c r="F1490" s="1"/>
    </row>
    <row r="1491" spans="6:6">
      <c r="F1491" s="1"/>
    </row>
    <row r="1492" spans="6:6">
      <c r="F1492" s="1"/>
    </row>
    <row r="1493" spans="6:6">
      <c r="F1493" s="1"/>
    </row>
    <row r="1494" spans="6:6">
      <c r="F1494" s="1"/>
    </row>
    <row r="1495" spans="6:6">
      <c r="F1495" s="1"/>
    </row>
    <row r="1496" spans="6:6">
      <c r="F1496" s="1"/>
    </row>
    <row r="1497" spans="6:6">
      <c r="F1497" s="1"/>
    </row>
    <row r="1498" spans="6:6">
      <c r="F1498" s="1"/>
    </row>
    <row r="1499" spans="6:6">
      <c r="F1499" s="1"/>
    </row>
    <row r="1500" spans="6:6">
      <c r="F1500" s="1"/>
    </row>
    <row r="1501" spans="6:6">
      <c r="F1501" s="1"/>
    </row>
    <row r="1502" spans="6:6">
      <c r="F1502" s="1"/>
    </row>
    <row r="1503" spans="6:6">
      <c r="F1503" s="1"/>
    </row>
    <row r="1504" spans="6:6">
      <c r="F1504" s="1"/>
    </row>
    <row r="1505" spans="6:6">
      <c r="F1505" s="1"/>
    </row>
    <row r="1506" spans="6:6">
      <c r="F1506" s="1"/>
    </row>
    <row r="1507" spans="6:6">
      <c r="F1507" s="1"/>
    </row>
    <row r="1508" spans="6:6">
      <c r="F1508" s="1"/>
    </row>
    <row r="1509" spans="6:6">
      <c r="F1509" s="1"/>
    </row>
    <row r="1510" spans="6:6">
      <c r="F1510" s="1"/>
    </row>
    <row r="1511" spans="6:6">
      <c r="F1511" s="1"/>
    </row>
    <row r="1512" spans="6:6">
      <c r="F1512" s="1"/>
    </row>
    <row r="1513" spans="6:6">
      <c r="F1513" s="1"/>
    </row>
    <row r="1514" spans="6:6">
      <c r="F1514" s="1"/>
    </row>
    <row r="1515" spans="6:6">
      <c r="F1515" s="1"/>
    </row>
    <row r="1516" spans="6:6">
      <c r="F1516" s="1"/>
    </row>
    <row r="1517" spans="6:6">
      <c r="F1517" s="1"/>
    </row>
    <row r="1518" spans="6:6">
      <c r="F1518" s="1"/>
    </row>
    <row r="1519" spans="6:6">
      <c r="F1519" s="1"/>
    </row>
    <row r="1520" spans="6:6">
      <c r="F1520" s="1"/>
    </row>
    <row r="1521" spans="6:6">
      <c r="F1521" s="1"/>
    </row>
    <row r="1522" spans="6:6">
      <c r="F1522" s="1"/>
    </row>
    <row r="1523" spans="6:6">
      <c r="F1523" s="1"/>
    </row>
    <row r="1524" spans="6:6">
      <c r="F1524" s="1"/>
    </row>
    <row r="1525" spans="6:6">
      <c r="F1525" s="1"/>
    </row>
    <row r="1526" spans="6:6">
      <c r="F1526" s="1"/>
    </row>
    <row r="1527" spans="6:6">
      <c r="F1527" s="1"/>
    </row>
    <row r="1528" spans="6:6">
      <c r="F1528" s="1"/>
    </row>
    <row r="1529" spans="6:6">
      <c r="F1529" s="1"/>
    </row>
    <row r="1530" spans="6:6">
      <c r="F1530" s="1"/>
    </row>
    <row r="1531" spans="6:6">
      <c r="F1531" s="1"/>
    </row>
    <row r="1532" spans="6:6">
      <c r="F1532" s="1"/>
    </row>
    <row r="1533" spans="6:6">
      <c r="F1533" s="1"/>
    </row>
    <row r="1534" spans="6:6">
      <c r="F1534" s="1"/>
    </row>
    <row r="1535" spans="6:6">
      <c r="F1535" s="1"/>
    </row>
    <row r="1536" spans="6:6">
      <c r="F1536" s="1"/>
    </row>
    <row r="1537" spans="6:6">
      <c r="F1537" s="1"/>
    </row>
    <row r="1538" spans="6:6">
      <c r="F1538" s="1"/>
    </row>
    <row r="1539" spans="6:6">
      <c r="F1539" s="1"/>
    </row>
    <row r="1540" spans="6:6">
      <c r="F1540" s="1"/>
    </row>
    <row r="1541" spans="6:6">
      <c r="F1541" s="1"/>
    </row>
    <row r="1542" spans="6:6">
      <c r="F1542" s="1"/>
    </row>
    <row r="1543" spans="6:6">
      <c r="F1543" s="1"/>
    </row>
    <row r="1544" spans="6:6">
      <c r="F1544" s="1"/>
    </row>
    <row r="1545" spans="6:6">
      <c r="F1545" s="1"/>
    </row>
    <row r="1546" spans="6:6">
      <c r="F1546" s="1"/>
    </row>
    <row r="1547" spans="6:6">
      <c r="F1547" s="1"/>
    </row>
    <row r="1548" spans="6:6">
      <c r="F1548" s="1"/>
    </row>
    <row r="1549" spans="6:6">
      <c r="F1549" s="1"/>
    </row>
    <row r="1550" spans="6:6">
      <c r="F1550" s="1"/>
    </row>
    <row r="1551" spans="6:6">
      <c r="F1551" s="1"/>
    </row>
    <row r="1552" spans="6:6">
      <c r="F1552" s="1"/>
    </row>
    <row r="1553" spans="6:6">
      <c r="F1553" s="1"/>
    </row>
    <row r="1554" spans="6:6">
      <c r="F1554" s="1"/>
    </row>
    <row r="1555" spans="6:6">
      <c r="F1555" s="1"/>
    </row>
    <row r="1556" spans="6:6">
      <c r="F1556" s="1"/>
    </row>
    <row r="1557" spans="6:6">
      <c r="F1557" s="1"/>
    </row>
    <row r="1558" spans="6:6">
      <c r="F1558" s="1"/>
    </row>
    <row r="1559" spans="6:6">
      <c r="F1559" s="1"/>
    </row>
    <row r="1560" spans="6:6">
      <c r="F1560" s="1"/>
    </row>
    <row r="1561" spans="6:6">
      <c r="F1561" s="1"/>
    </row>
    <row r="1562" spans="6:6">
      <c r="F1562" s="1"/>
    </row>
    <row r="1563" spans="6:6">
      <c r="F1563" s="1"/>
    </row>
    <row r="1564" spans="6:6">
      <c r="F1564" s="1"/>
    </row>
    <row r="1565" spans="6:6">
      <c r="F1565" s="1"/>
    </row>
    <row r="1566" spans="6:6">
      <c r="F1566" s="1"/>
    </row>
    <row r="1567" spans="6:6">
      <c r="F1567" s="1"/>
    </row>
    <row r="1568" spans="6:6">
      <c r="F1568" s="1"/>
    </row>
    <row r="1569" spans="6:6">
      <c r="F1569" s="1"/>
    </row>
    <row r="1570" spans="6:6">
      <c r="F1570" s="1"/>
    </row>
    <row r="1571" spans="6:6">
      <c r="F1571" s="1"/>
    </row>
    <row r="1572" spans="6:6">
      <c r="F1572" s="1"/>
    </row>
    <row r="1573" spans="6:6">
      <c r="F1573" s="1"/>
    </row>
    <row r="1574" spans="6:6">
      <c r="F1574" s="1"/>
    </row>
    <row r="1575" spans="6:6">
      <c r="F1575" s="1"/>
    </row>
    <row r="1576" spans="6:6">
      <c r="F1576" s="1"/>
    </row>
    <row r="1577" spans="6:6">
      <c r="F1577" s="1"/>
    </row>
    <row r="1578" spans="6:6">
      <c r="F1578" s="1"/>
    </row>
    <row r="1579" spans="6:6">
      <c r="F1579" s="1"/>
    </row>
    <row r="1580" spans="6:6">
      <c r="F1580" s="1"/>
    </row>
    <row r="1581" spans="6:6">
      <c r="F1581" s="1"/>
    </row>
    <row r="1582" spans="6:6">
      <c r="F1582" s="1"/>
    </row>
    <row r="1583" spans="6:6">
      <c r="F1583" s="1"/>
    </row>
    <row r="1584" spans="6:6">
      <c r="F1584" s="1"/>
    </row>
    <row r="1585" spans="6:6">
      <c r="F1585" s="1"/>
    </row>
    <row r="1586" spans="6:6">
      <c r="F1586" s="1"/>
    </row>
    <row r="1587" spans="6:6">
      <c r="F1587" s="1"/>
    </row>
    <row r="1588" spans="6:6">
      <c r="F1588" s="1"/>
    </row>
    <row r="1589" spans="6:6">
      <c r="F1589" s="1"/>
    </row>
    <row r="1590" spans="6:6">
      <c r="F1590" s="1"/>
    </row>
    <row r="1591" spans="6:6">
      <c r="F1591" s="1"/>
    </row>
    <row r="1592" spans="6:6">
      <c r="F1592" s="1"/>
    </row>
    <row r="1593" spans="6:6">
      <c r="F1593" s="1"/>
    </row>
    <row r="1594" spans="6:6">
      <c r="F1594" s="1"/>
    </row>
    <row r="1595" spans="6:6">
      <c r="F1595" s="1"/>
    </row>
    <row r="1596" spans="6:6">
      <c r="F1596" s="1"/>
    </row>
    <row r="1597" spans="6:6">
      <c r="F1597" s="1"/>
    </row>
    <row r="1598" spans="6:6">
      <c r="F1598" s="1"/>
    </row>
    <row r="1599" spans="6:6">
      <c r="F1599" s="1"/>
    </row>
    <row r="1600" spans="6:6">
      <c r="F1600" s="1"/>
    </row>
    <row r="1601" spans="6:6">
      <c r="F1601" s="1"/>
    </row>
    <row r="1602" spans="6:6">
      <c r="F1602" s="1"/>
    </row>
    <row r="1603" spans="6:6">
      <c r="F1603" s="1"/>
    </row>
    <row r="1604" spans="6:6">
      <c r="F1604" s="1"/>
    </row>
    <row r="1605" spans="6:6">
      <c r="F1605" s="1"/>
    </row>
    <row r="1606" spans="6:6">
      <c r="F1606" s="1"/>
    </row>
    <row r="1607" spans="6:6">
      <c r="F1607" s="1"/>
    </row>
    <row r="1608" spans="6:6">
      <c r="F1608" s="1"/>
    </row>
    <row r="1609" spans="6:6">
      <c r="F1609" s="1"/>
    </row>
    <row r="1610" spans="6:6">
      <c r="F1610" s="1"/>
    </row>
    <row r="1611" spans="6:6">
      <c r="F1611" s="1"/>
    </row>
    <row r="1612" spans="6:6">
      <c r="F1612" s="1"/>
    </row>
    <row r="1613" spans="6:6">
      <c r="F1613" s="1"/>
    </row>
    <row r="1614" spans="6:6">
      <c r="F1614" s="1"/>
    </row>
    <row r="1615" spans="6:6">
      <c r="F1615" s="1"/>
    </row>
    <row r="1616" spans="6:6">
      <c r="F1616" s="1"/>
    </row>
    <row r="1617" spans="6:6">
      <c r="F1617" s="1"/>
    </row>
    <row r="1618" spans="6:6">
      <c r="F1618" s="1"/>
    </row>
    <row r="1619" spans="6:6">
      <c r="F1619" s="1"/>
    </row>
    <row r="1620" spans="6:6">
      <c r="F1620" s="1"/>
    </row>
    <row r="1621" spans="6:6">
      <c r="F1621" s="1"/>
    </row>
    <row r="1622" spans="6:6">
      <c r="F1622" s="1"/>
    </row>
    <row r="1623" spans="6:6">
      <c r="F1623" s="1"/>
    </row>
    <row r="1624" spans="6:6">
      <c r="F1624" s="1"/>
    </row>
    <row r="1625" spans="6:6">
      <c r="F1625" s="1"/>
    </row>
    <row r="1626" spans="6:6">
      <c r="F1626" s="1"/>
    </row>
    <row r="1627" spans="6:6">
      <c r="F1627" s="1"/>
    </row>
    <row r="1628" spans="6:6">
      <c r="F1628" s="1"/>
    </row>
    <row r="1629" spans="6:6">
      <c r="F1629" s="1"/>
    </row>
    <row r="1630" spans="6:6">
      <c r="F1630" s="1"/>
    </row>
    <row r="1631" spans="6:6">
      <c r="F1631" s="1"/>
    </row>
    <row r="1632" spans="6:6">
      <c r="F1632" s="1"/>
    </row>
    <row r="1633" spans="6:6">
      <c r="F1633" s="1"/>
    </row>
    <row r="1634" spans="6:6">
      <c r="F1634" s="1"/>
    </row>
    <row r="1635" spans="6:6">
      <c r="F1635" s="1"/>
    </row>
    <row r="1636" spans="6:6">
      <c r="F1636" s="1"/>
    </row>
    <row r="1637" spans="6:6">
      <c r="F1637" s="1"/>
    </row>
    <row r="1638" spans="6:6">
      <c r="F1638" s="1"/>
    </row>
    <row r="1639" spans="6:6">
      <c r="F1639" s="1"/>
    </row>
    <row r="1640" spans="6:6">
      <c r="F1640" s="1"/>
    </row>
    <row r="1641" spans="6:6">
      <c r="F1641" s="1"/>
    </row>
    <row r="1642" spans="6:6">
      <c r="F1642" s="1"/>
    </row>
    <row r="1643" spans="6:6">
      <c r="F1643" s="1"/>
    </row>
    <row r="1644" spans="6:6">
      <c r="F1644" s="1"/>
    </row>
    <row r="1645" spans="6:6">
      <c r="F1645" s="1"/>
    </row>
    <row r="1646" spans="6:6">
      <c r="F1646" s="1"/>
    </row>
    <row r="1647" spans="6:6">
      <c r="F1647" s="1"/>
    </row>
    <row r="1648" spans="6:6">
      <c r="F1648" s="1"/>
    </row>
    <row r="1649" spans="6:6">
      <c r="F1649" s="1"/>
    </row>
    <row r="1650" spans="6:6">
      <c r="F1650" s="1"/>
    </row>
    <row r="1651" spans="6:6">
      <c r="F1651" s="1"/>
    </row>
    <row r="1652" spans="6:6">
      <c r="F1652" s="1"/>
    </row>
    <row r="1653" spans="6:6">
      <c r="F1653" s="1"/>
    </row>
    <row r="1654" spans="6:6">
      <c r="F1654" s="1"/>
    </row>
    <row r="1655" spans="6:6">
      <c r="F1655" s="1"/>
    </row>
    <row r="1656" spans="6:6">
      <c r="F1656" s="1"/>
    </row>
    <row r="1657" spans="6:6">
      <c r="F1657" s="1"/>
    </row>
    <row r="1658" spans="6:6">
      <c r="F1658" s="1"/>
    </row>
    <row r="1659" spans="6:6">
      <c r="F1659" s="1"/>
    </row>
    <row r="1660" spans="6:6">
      <c r="F1660" s="1"/>
    </row>
    <row r="1661" spans="6:6">
      <c r="F1661" s="1"/>
    </row>
    <row r="1662" spans="6:6">
      <c r="F1662" s="1"/>
    </row>
    <row r="1663" spans="6:6">
      <c r="F1663" s="1"/>
    </row>
    <row r="1664" spans="6:6">
      <c r="F1664" s="1"/>
    </row>
    <row r="1665" spans="6:6">
      <c r="F1665" s="1"/>
    </row>
    <row r="1666" spans="6:6">
      <c r="F1666" s="1"/>
    </row>
    <row r="1667" spans="6:6">
      <c r="F1667" s="1"/>
    </row>
    <row r="1668" spans="6:6">
      <c r="F1668" s="1"/>
    </row>
    <row r="1669" spans="6:6">
      <c r="F1669" s="1"/>
    </row>
    <row r="1670" spans="6:6">
      <c r="F1670" s="1"/>
    </row>
    <row r="1671" spans="6:6">
      <c r="F1671" s="1"/>
    </row>
    <row r="1672" spans="6:6">
      <c r="F1672" s="1"/>
    </row>
    <row r="1673" spans="6:6">
      <c r="F1673" s="1"/>
    </row>
    <row r="1674" spans="6:6">
      <c r="F1674" s="1"/>
    </row>
    <row r="1675" spans="6:6">
      <c r="F1675" s="1"/>
    </row>
    <row r="1676" spans="6:6">
      <c r="F1676" s="1"/>
    </row>
    <row r="1677" spans="6:6">
      <c r="F1677" s="1"/>
    </row>
    <row r="1678" spans="6:6">
      <c r="F1678" s="1"/>
    </row>
    <row r="1679" spans="6:6">
      <c r="F1679" s="1"/>
    </row>
    <row r="1680" spans="6:6">
      <c r="F1680" s="1"/>
    </row>
    <row r="1681" spans="6:6">
      <c r="F1681" s="1"/>
    </row>
    <row r="1682" spans="6:6">
      <c r="F1682" s="1"/>
    </row>
    <row r="1683" spans="6:6">
      <c r="F1683" s="1"/>
    </row>
    <row r="1684" spans="6:6">
      <c r="F1684" s="1"/>
    </row>
    <row r="1685" spans="6:6">
      <c r="F1685" s="1"/>
    </row>
    <row r="1686" spans="6:6">
      <c r="F1686" s="1"/>
    </row>
    <row r="1687" spans="6:6">
      <c r="F1687" s="1"/>
    </row>
    <row r="1688" spans="6:6">
      <c r="F1688" s="1"/>
    </row>
    <row r="1689" spans="6:6">
      <c r="F1689" s="1"/>
    </row>
    <row r="1690" spans="6:6">
      <c r="F1690" s="1"/>
    </row>
    <row r="1691" spans="6:6">
      <c r="F1691" s="1"/>
    </row>
    <row r="1692" spans="6:6">
      <c r="F1692" s="1"/>
    </row>
    <row r="1693" spans="6:6">
      <c r="F1693" s="1"/>
    </row>
    <row r="1694" spans="6:6">
      <c r="F1694" s="1"/>
    </row>
    <row r="1695" spans="6:6">
      <c r="F1695" s="1"/>
    </row>
    <row r="1696" spans="6:6">
      <c r="F1696" s="1"/>
    </row>
    <row r="1697" spans="6:6">
      <c r="F1697" s="1"/>
    </row>
    <row r="1698" spans="6:6">
      <c r="F1698" s="1"/>
    </row>
    <row r="1699" spans="6:6">
      <c r="F1699" s="1"/>
    </row>
    <row r="1700" spans="6:6">
      <c r="F1700" s="1"/>
    </row>
    <row r="1701" spans="6:6">
      <c r="F1701" s="1"/>
    </row>
    <row r="1702" spans="6:6">
      <c r="F1702" s="1"/>
    </row>
    <row r="1703" spans="6:6">
      <c r="F1703" s="1"/>
    </row>
    <row r="1704" spans="6:6">
      <c r="F1704" s="1"/>
    </row>
    <row r="1705" spans="6:6">
      <c r="F1705" s="1"/>
    </row>
    <row r="1706" spans="6:6">
      <c r="F1706" s="1"/>
    </row>
    <row r="1707" spans="6:6">
      <c r="F1707" s="1"/>
    </row>
    <row r="1708" spans="6:6">
      <c r="F1708" s="1"/>
    </row>
    <row r="1709" spans="6:6">
      <c r="F1709" s="1"/>
    </row>
    <row r="1710" spans="6:6">
      <c r="F1710" s="1"/>
    </row>
    <row r="1711" spans="6:6">
      <c r="F1711" s="1"/>
    </row>
    <row r="1712" spans="6:6">
      <c r="F1712" s="1"/>
    </row>
    <row r="1713" spans="6:6">
      <c r="F1713" s="1"/>
    </row>
    <row r="1714" spans="6:6">
      <c r="F1714" s="1"/>
    </row>
    <row r="1715" spans="6:6">
      <c r="F1715" s="1"/>
    </row>
    <row r="1716" spans="6:6">
      <c r="F1716" s="1"/>
    </row>
    <row r="1717" spans="6:6">
      <c r="F1717" s="1"/>
    </row>
    <row r="1718" spans="6:6">
      <c r="F1718" s="1"/>
    </row>
    <row r="1719" spans="6:6">
      <c r="F1719" s="1"/>
    </row>
    <row r="1720" spans="6:6">
      <c r="F1720" s="1"/>
    </row>
    <row r="1721" spans="6:6">
      <c r="F1721" s="1"/>
    </row>
    <row r="1722" spans="6:6">
      <c r="F1722" s="1"/>
    </row>
    <row r="1723" spans="6:6">
      <c r="F1723" s="1"/>
    </row>
    <row r="1724" spans="6:6">
      <c r="F1724" s="1"/>
    </row>
    <row r="1725" spans="6:6">
      <c r="F1725" s="1"/>
    </row>
    <row r="1726" spans="6:6">
      <c r="F1726" s="1"/>
    </row>
    <row r="1727" spans="6:6">
      <c r="F1727" s="1"/>
    </row>
    <row r="1728" spans="6:6">
      <c r="F1728" s="1"/>
    </row>
    <row r="1729" spans="6:6">
      <c r="F1729" s="1"/>
    </row>
    <row r="1730" spans="6:6">
      <c r="F1730" s="1"/>
    </row>
    <row r="1731" spans="6:6">
      <c r="F1731" s="1"/>
    </row>
    <row r="1732" spans="6:6">
      <c r="F1732" s="1"/>
    </row>
    <row r="1733" spans="6:6">
      <c r="F1733" s="1"/>
    </row>
    <row r="1734" spans="6:6">
      <c r="F1734" s="1"/>
    </row>
    <row r="1735" spans="6:6">
      <c r="F1735" s="1"/>
    </row>
    <row r="1736" spans="6:6">
      <c r="F1736" s="1"/>
    </row>
    <row r="1737" spans="6:6">
      <c r="F1737" s="1"/>
    </row>
    <row r="1738" spans="6:6">
      <c r="F1738" s="1"/>
    </row>
    <row r="1739" spans="6:6">
      <c r="F1739" s="1"/>
    </row>
    <row r="1740" spans="6:6">
      <c r="F1740" s="1"/>
    </row>
    <row r="1741" spans="6:6">
      <c r="F1741" s="1"/>
    </row>
    <row r="1742" spans="6:6">
      <c r="F1742" s="1"/>
    </row>
    <row r="1743" spans="6:6">
      <c r="F1743" s="1"/>
    </row>
    <row r="1744" spans="6:6">
      <c r="F1744" s="1"/>
    </row>
    <row r="1745" spans="6:6">
      <c r="F1745" s="1"/>
    </row>
    <row r="1746" spans="6:6">
      <c r="F1746" s="1"/>
    </row>
    <row r="1747" spans="6:6">
      <c r="F1747" s="1"/>
    </row>
    <row r="1748" spans="6:6">
      <c r="F1748" s="1"/>
    </row>
    <row r="1749" spans="6:6">
      <c r="F1749" s="1"/>
    </row>
    <row r="1750" spans="6:6">
      <c r="F1750" s="1"/>
    </row>
    <row r="1751" spans="6:6">
      <c r="F1751" s="1"/>
    </row>
    <row r="1752" spans="6:6">
      <c r="F1752" s="1"/>
    </row>
    <row r="1753" spans="6:6">
      <c r="F1753" s="1"/>
    </row>
    <row r="1754" spans="6:6">
      <c r="F1754" s="1"/>
    </row>
    <row r="1755" spans="6:6">
      <c r="F1755" s="1"/>
    </row>
    <row r="1756" spans="6:6">
      <c r="F1756" s="1"/>
    </row>
    <row r="1757" spans="6:6">
      <c r="F1757" s="1"/>
    </row>
    <row r="1758" spans="6:6">
      <c r="F1758" s="1"/>
    </row>
    <row r="1759" spans="6:6">
      <c r="F1759" s="1"/>
    </row>
    <row r="1760" spans="6:6">
      <c r="F1760" s="1"/>
    </row>
    <row r="1761" spans="6:6">
      <c r="F1761" s="1"/>
    </row>
    <row r="1762" spans="6:6">
      <c r="F1762" s="1"/>
    </row>
    <row r="1763" spans="6:6">
      <c r="F1763" s="1"/>
    </row>
    <row r="1764" spans="6:6">
      <c r="F1764" s="1"/>
    </row>
    <row r="1765" spans="6:6">
      <c r="F1765" s="1"/>
    </row>
    <row r="1766" spans="6:6">
      <c r="F1766" s="1"/>
    </row>
    <row r="1767" spans="6:6">
      <c r="F1767" s="1"/>
    </row>
    <row r="1768" spans="6:6">
      <c r="F1768" s="1"/>
    </row>
    <row r="1769" spans="6:6">
      <c r="F1769" s="1"/>
    </row>
    <row r="1770" spans="6:6">
      <c r="F1770" s="1"/>
    </row>
    <row r="1771" spans="6:6">
      <c r="F1771" s="1"/>
    </row>
    <row r="1772" spans="6:6">
      <c r="F1772" s="1"/>
    </row>
    <row r="1773" spans="6:6">
      <c r="F1773" s="1"/>
    </row>
    <row r="1774" spans="6:6">
      <c r="F1774" s="1"/>
    </row>
    <row r="1775" spans="6:6">
      <c r="F1775" s="1"/>
    </row>
    <row r="1776" spans="6:6">
      <c r="F1776" s="1"/>
    </row>
    <row r="1777" spans="6:6">
      <c r="F1777" s="1"/>
    </row>
    <row r="1778" spans="6:6">
      <c r="F1778" s="1"/>
    </row>
    <row r="1779" spans="6:6">
      <c r="F1779" s="1"/>
    </row>
    <row r="1780" spans="6:6">
      <c r="F1780" s="1"/>
    </row>
    <row r="1781" spans="6:6">
      <c r="F1781" s="1"/>
    </row>
    <row r="1782" spans="6:6">
      <c r="F1782" s="1"/>
    </row>
    <row r="1783" spans="6:6">
      <c r="F1783" s="1"/>
    </row>
    <row r="1784" spans="6:6">
      <c r="F1784" s="1"/>
    </row>
    <row r="1785" spans="6:6">
      <c r="F1785" s="1"/>
    </row>
    <row r="1786" spans="6:6">
      <c r="F1786" s="1"/>
    </row>
    <row r="1787" spans="6:6">
      <c r="F1787" s="1"/>
    </row>
    <row r="1788" spans="6:6">
      <c r="F1788" s="1"/>
    </row>
    <row r="1789" spans="6:6">
      <c r="F1789" s="1"/>
    </row>
    <row r="1790" spans="6:6">
      <c r="F1790" s="1"/>
    </row>
    <row r="1791" spans="6:6">
      <c r="F1791" s="1"/>
    </row>
    <row r="1792" spans="6:6">
      <c r="F1792" s="1"/>
    </row>
    <row r="1793" spans="6:6">
      <c r="F1793" s="1"/>
    </row>
    <row r="1794" spans="6:6">
      <c r="F1794" s="1"/>
    </row>
    <row r="1795" spans="6:6">
      <c r="F1795" s="1"/>
    </row>
    <row r="1796" spans="6:6">
      <c r="F1796" s="1"/>
    </row>
    <row r="1797" spans="6:6">
      <c r="F1797" s="1"/>
    </row>
    <row r="1798" spans="6:6">
      <c r="F1798" s="1"/>
    </row>
    <row r="1799" spans="6:6">
      <c r="F1799" s="1"/>
    </row>
    <row r="1800" spans="6:6">
      <c r="F1800" s="1"/>
    </row>
    <row r="1801" spans="6:6">
      <c r="F1801" s="1"/>
    </row>
    <row r="1802" spans="6:6">
      <c r="F1802" s="1"/>
    </row>
    <row r="1803" spans="6:6">
      <c r="F1803" s="1"/>
    </row>
    <row r="1804" spans="6:6">
      <c r="F1804" s="1"/>
    </row>
    <row r="1805" spans="6:6">
      <c r="F1805" s="1"/>
    </row>
    <row r="1806" spans="6:6">
      <c r="F1806" s="1"/>
    </row>
    <row r="1807" spans="6:6">
      <c r="F1807" s="1"/>
    </row>
    <row r="1808" spans="6:6">
      <c r="F1808" s="1"/>
    </row>
    <row r="1809" spans="6:6">
      <c r="F1809" s="1"/>
    </row>
    <row r="1810" spans="6:6">
      <c r="F1810" s="1"/>
    </row>
    <row r="1811" spans="6:6">
      <c r="F1811" s="1"/>
    </row>
    <row r="1812" spans="6:6">
      <c r="F1812" s="1"/>
    </row>
    <row r="1813" spans="6:6">
      <c r="F1813" s="1"/>
    </row>
    <row r="1814" spans="6:6">
      <c r="F1814" s="1"/>
    </row>
    <row r="1815" spans="6:6">
      <c r="F1815" s="1"/>
    </row>
    <row r="1816" spans="6:6">
      <c r="F1816" s="1"/>
    </row>
    <row r="1817" spans="6:6">
      <c r="F1817" s="1"/>
    </row>
    <row r="1818" spans="6:6">
      <c r="F1818" s="1"/>
    </row>
    <row r="1819" spans="6:6">
      <c r="F1819" s="1"/>
    </row>
    <row r="1820" spans="6:6">
      <c r="F1820" s="1"/>
    </row>
    <row r="1821" spans="6:6">
      <c r="F1821" s="1"/>
    </row>
    <row r="1822" spans="6:6">
      <c r="F1822" s="1"/>
    </row>
    <row r="1823" spans="6:6">
      <c r="F1823" s="1"/>
    </row>
    <row r="1824" spans="6:6">
      <c r="F1824" s="1"/>
    </row>
    <row r="1825" spans="6:6">
      <c r="F1825" s="1"/>
    </row>
    <row r="1826" spans="6:6">
      <c r="F1826" s="1"/>
    </row>
    <row r="1827" spans="6:6">
      <c r="F1827" s="1"/>
    </row>
    <row r="1828" spans="6:6">
      <c r="F1828" s="1"/>
    </row>
    <row r="1829" spans="6:6">
      <c r="F1829" s="1"/>
    </row>
    <row r="1830" spans="6:6">
      <c r="F1830" s="1"/>
    </row>
    <row r="1831" spans="6:6">
      <c r="F1831" s="1"/>
    </row>
    <row r="1832" spans="6:6">
      <c r="F1832" s="1"/>
    </row>
    <row r="1833" spans="6:6">
      <c r="F1833" s="1"/>
    </row>
    <row r="1834" spans="6:6">
      <c r="F1834" s="1"/>
    </row>
    <row r="1835" spans="6:6">
      <c r="F1835" s="1"/>
    </row>
    <row r="1836" spans="6:6">
      <c r="F1836" s="1"/>
    </row>
    <row r="1837" spans="6:6">
      <c r="F1837" s="1"/>
    </row>
    <row r="1838" spans="6:6">
      <c r="F1838" s="1"/>
    </row>
    <row r="1839" spans="6:6">
      <c r="F1839" s="1"/>
    </row>
    <row r="1840" spans="6:6">
      <c r="F1840" s="1"/>
    </row>
    <row r="1841" spans="6:6">
      <c r="F1841" s="1"/>
    </row>
    <row r="1842" spans="6:6">
      <c r="F1842" s="1"/>
    </row>
    <row r="1843" spans="6:6">
      <c r="F1843" s="1"/>
    </row>
    <row r="1844" spans="6:6">
      <c r="F1844" s="1"/>
    </row>
    <row r="1845" spans="6:6">
      <c r="F1845" s="1"/>
    </row>
    <row r="1846" spans="6:6">
      <c r="F1846" s="1"/>
    </row>
    <row r="1847" spans="6:6">
      <c r="F1847" s="1"/>
    </row>
    <row r="1848" spans="6:6">
      <c r="F1848" s="1"/>
    </row>
    <row r="1849" spans="6:6">
      <c r="F1849" s="1"/>
    </row>
    <row r="1850" spans="6:6">
      <c r="F1850" s="1"/>
    </row>
    <row r="1851" spans="6:6">
      <c r="F1851" s="1"/>
    </row>
    <row r="1852" spans="6:6">
      <c r="F1852" s="1"/>
    </row>
    <row r="1853" spans="6:6">
      <c r="F1853" s="1"/>
    </row>
    <row r="1854" spans="6:6">
      <c r="F1854" s="1"/>
    </row>
    <row r="1855" spans="6:6">
      <c r="F1855" s="1"/>
    </row>
    <row r="1856" spans="6:6">
      <c r="F1856" s="1"/>
    </row>
    <row r="1857" spans="6:6">
      <c r="F1857" s="1"/>
    </row>
    <row r="1858" spans="6:6">
      <c r="F1858" s="1"/>
    </row>
    <row r="1859" spans="6:6">
      <c r="F1859" s="1"/>
    </row>
    <row r="1860" spans="6:6">
      <c r="F1860" s="1"/>
    </row>
    <row r="1861" spans="6:6">
      <c r="F1861" s="1"/>
    </row>
    <row r="1862" spans="6:6">
      <c r="F1862" s="1"/>
    </row>
    <row r="1863" spans="6:6">
      <c r="F1863" s="1"/>
    </row>
    <row r="1864" spans="6:6">
      <c r="F1864" s="1"/>
    </row>
    <row r="1865" spans="6:6">
      <c r="F1865" s="1"/>
    </row>
    <row r="1866" spans="6:6">
      <c r="F1866" s="1"/>
    </row>
    <row r="1867" spans="6:6">
      <c r="F1867" s="1"/>
    </row>
    <row r="1868" spans="6:6">
      <c r="F1868" s="1"/>
    </row>
    <row r="1869" spans="6:6">
      <c r="F1869" s="1"/>
    </row>
    <row r="1870" spans="6:6">
      <c r="F1870" s="1"/>
    </row>
    <row r="1871" spans="6:6">
      <c r="F1871" s="1"/>
    </row>
    <row r="1872" spans="6:6">
      <c r="F1872" s="1"/>
    </row>
    <row r="1873" spans="6:6">
      <c r="F1873" s="1"/>
    </row>
    <row r="1874" spans="6:6">
      <c r="F1874" s="1"/>
    </row>
    <row r="1875" spans="6:6">
      <c r="F1875" s="1"/>
    </row>
    <row r="1876" spans="6:6">
      <c r="F1876" s="1"/>
    </row>
    <row r="1877" spans="6:6">
      <c r="F1877" s="1"/>
    </row>
    <row r="1878" spans="6:6">
      <c r="F1878" s="1"/>
    </row>
    <row r="1879" spans="6:6">
      <c r="F1879" s="1"/>
    </row>
    <row r="1880" spans="6:6">
      <c r="F1880" s="1"/>
    </row>
    <row r="1881" spans="6:6">
      <c r="F1881" s="1"/>
    </row>
    <row r="1882" spans="6:6">
      <c r="F1882" s="1"/>
    </row>
    <row r="1883" spans="6:6">
      <c r="F1883" s="1"/>
    </row>
    <row r="1884" spans="6:6">
      <c r="F1884" s="1"/>
    </row>
    <row r="1885" spans="6:6">
      <c r="F1885" s="1"/>
    </row>
    <row r="1886" spans="6:6">
      <c r="F1886" s="1"/>
    </row>
    <row r="1887" spans="6:6">
      <c r="F1887" s="1"/>
    </row>
    <row r="1888" spans="6:6">
      <c r="F1888" s="1"/>
    </row>
    <row r="1889" spans="6:6">
      <c r="F1889" s="1"/>
    </row>
    <row r="1890" spans="6:6">
      <c r="F1890" s="1"/>
    </row>
    <row r="1891" spans="6:6">
      <c r="F1891" s="1"/>
    </row>
    <row r="1892" spans="6:6">
      <c r="F1892" s="1"/>
    </row>
    <row r="1893" spans="6:6">
      <c r="F1893" s="1"/>
    </row>
    <row r="1894" spans="6:6">
      <c r="F1894" s="1"/>
    </row>
    <row r="1895" spans="6:6">
      <c r="F1895" s="1"/>
    </row>
    <row r="1896" spans="6:6">
      <c r="F1896" s="1"/>
    </row>
    <row r="1897" spans="6:6">
      <c r="F1897" s="1"/>
    </row>
    <row r="1898" spans="6:6">
      <c r="F1898" s="1"/>
    </row>
    <row r="1899" spans="6:6">
      <c r="F1899" s="1"/>
    </row>
    <row r="1900" spans="6:6">
      <c r="F1900" s="1"/>
    </row>
    <row r="1901" spans="6:6">
      <c r="F1901" s="1"/>
    </row>
    <row r="1902" spans="6:6">
      <c r="F1902" s="1"/>
    </row>
    <row r="1903" spans="6:6">
      <c r="F1903" s="1"/>
    </row>
    <row r="1904" spans="6:6">
      <c r="F1904" s="1"/>
    </row>
    <row r="1905" spans="6:6">
      <c r="F1905" s="1"/>
    </row>
    <row r="1906" spans="6:6">
      <c r="F1906" s="1"/>
    </row>
    <row r="1907" spans="6:6">
      <c r="F1907" s="1"/>
    </row>
    <row r="1908" spans="6:6">
      <c r="F1908" s="1"/>
    </row>
    <row r="1909" spans="6:6">
      <c r="F1909" s="1"/>
    </row>
    <row r="1910" spans="6:6">
      <c r="F1910" s="1"/>
    </row>
    <row r="1911" spans="6:6">
      <c r="F1911" s="1"/>
    </row>
    <row r="1912" spans="6:6">
      <c r="F1912" s="1"/>
    </row>
    <row r="1913" spans="6:6">
      <c r="F1913" s="1"/>
    </row>
    <row r="1914" spans="6:6">
      <c r="F1914" s="1"/>
    </row>
    <row r="1915" spans="6:6">
      <c r="F1915" s="1"/>
    </row>
    <row r="1916" spans="6:6">
      <c r="F1916" s="1"/>
    </row>
    <row r="1917" spans="6:6">
      <c r="F1917" s="1"/>
    </row>
    <row r="1918" spans="6:6">
      <c r="F1918" s="1"/>
    </row>
    <row r="1919" spans="6:6">
      <c r="F1919" s="1"/>
    </row>
    <row r="1920" spans="6:6">
      <c r="F1920" s="1"/>
    </row>
    <row r="1921" spans="6:6">
      <c r="F1921" s="1"/>
    </row>
    <row r="1922" spans="6:6">
      <c r="F1922" s="1"/>
    </row>
    <row r="1923" spans="6:6">
      <c r="F1923" s="1"/>
    </row>
    <row r="1924" spans="6:6">
      <c r="F1924" s="1"/>
    </row>
    <row r="1925" spans="6:6">
      <c r="F1925" s="1"/>
    </row>
    <row r="1926" spans="6:6">
      <c r="F1926" s="1"/>
    </row>
    <row r="1927" spans="6:6">
      <c r="F1927" s="1"/>
    </row>
    <row r="1928" spans="6:6">
      <c r="F1928" s="1"/>
    </row>
    <row r="1929" spans="6:6">
      <c r="F1929" s="1"/>
    </row>
    <row r="1930" spans="6:6">
      <c r="F1930" s="1"/>
    </row>
    <row r="1931" spans="6:6">
      <c r="F1931" s="1"/>
    </row>
    <row r="1932" spans="6:6">
      <c r="F1932" s="1"/>
    </row>
    <row r="1933" spans="6:6">
      <c r="F1933" s="1"/>
    </row>
    <row r="1934" spans="6:6">
      <c r="F1934" s="1"/>
    </row>
    <row r="1935" spans="6:6">
      <c r="F1935" s="1"/>
    </row>
    <row r="1936" spans="6:6">
      <c r="F1936" s="1"/>
    </row>
    <row r="1937" spans="6:6">
      <c r="F1937" s="1"/>
    </row>
    <row r="1938" spans="6:6">
      <c r="F1938" s="1"/>
    </row>
    <row r="1939" spans="6:6">
      <c r="F1939" s="1"/>
    </row>
    <row r="1940" spans="6:6">
      <c r="F1940" s="1"/>
    </row>
    <row r="1941" spans="6:6">
      <c r="F1941" s="1"/>
    </row>
    <row r="1942" spans="6:6">
      <c r="F1942" s="1"/>
    </row>
    <row r="1943" spans="6:6">
      <c r="F1943" s="1"/>
    </row>
    <row r="1944" spans="6:6">
      <c r="F1944" s="1"/>
    </row>
    <row r="1945" spans="6:6">
      <c r="F1945" s="1"/>
    </row>
    <row r="1946" spans="6:6">
      <c r="F1946" s="1"/>
    </row>
    <row r="1947" spans="6:6">
      <c r="F1947" s="1"/>
    </row>
    <row r="1948" spans="6:6">
      <c r="F1948" s="1"/>
    </row>
    <row r="1949" spans="6:6">
      <c r="F1949" s="1"/>
    </row>
    <row r="1950" spans="6:6">
      <c r="F1950" s="1"/>
    </row>
    <row r="1951" spans="6:6">
      <c r="F1951" s="1"/>
    </row>
    <row r="1952" spans="6:6">
      <c r="F1952" s="1"/>
    </row>
    <row r="1953" spans="6:6">
      <c r="F1953" s="1"/>
    </row>
    <row r="1954" spans="6:6">
      <c r="F1954" s="1"/>
    </row>
    <row r="1955" spans="6:6">
      <c r="F1955" s="1"/>
    </row>
    <row r="1956" spans="6:6">
      <c r="F1956" s="1"/>
    </row>
    <row r="1957" spans="6:6">
      <c r="F1957" s="1"/>
    </row>
    <row r="1958" spans="6:6">
      <c r="F1958" s="1"/>
    </row>
    <row r="1959" spans="6:6">
      <c r="F1959" s="1"/>
    </row>
    <row r="1960" spans="6:6">
      <c r="F1960" s="1"/>
    </row>
    <row r="1961" spans="6:6">
      <c r="F1961" s="1"/>
    </row>
    <row r="1962" spans="6:6">
      <c r="F1962" s="1"/>
    </row>
    <row r="1963" spans="6:6">
      <c r="F1963" s="1"/>
    </row>
    <row r="1964" spans="6:6">
      <c r="F1964" s="1"/>
    </row>
    <row r="1965" spans="6:6">
      <c r="F1965" s="1"/>
    </row>
    <row r="1966" spans="6:6">
      <c r="F1966" s="1"/>
    </row>
    <row r="1967" spans="6:6">
      <c r="F1967" s="1"/>
    </row>
    <row r="1968" spans="6:6">
      <c r="F1968" s="1"/>
    </row>
    <row r="1969" spans="6:6">
      <c r="F1969" s="1"/>
    </row>
    <row r="1970" spans="6:6">
      <c r="F1970" s="1"/>
    </row>
    <row r="1971" spans="6:6">
      <c r="F1971" s="1"/>
    </row>
    <row r="1972" spans="6:6">
      <c r="F1972" s="1"/>
    </row>
    <row r="1973" spans="6:6">
      <c r="F1973" s="1"/>
    </row>
    <row r="1974" spans="6:6">
      <c r="F1974" s="1"/>
    </row>
    <row r="1975" spans="6:6">
      <c r="F1975" s="1"/>
    </row>
    <row r="1976" spans="6:6">
      <c r="F1976" s="1"/>
    </row>
    <row r="1977" spans="6:6">
      <c r="F1977" s="1"/>
    </row>
    <row r="1978" spans="6:6">
      <c r="F1978" s="1"/>
    </row>
    <row r="1979" spans="6:6">
      <c r="F1979" s="1"/>
    </row>
    <row r="1980" spans="6:6">
      <c r="F1980" s="1"/>
    </row>
    <row r="1981" spans="6:6">
      <c r="F1981" s="1"/>
    </row>
    <row r="1982" spans="6:6">
      <c r="F1982" s="1"/>
    </row>
    <row r="1983" spans="6:6">
      <c r="F1983" s="1"/>
    </row>
    <row r="1984" spans="6:6">
      <c r="F1984" s="1"/>
    </row>
    <row r="1985" spans="6:6">
      <c r="F1985" s="1"/>
    </row>
    <row r="1986" spans="6:6">
      <c r="F1986" s="1"/>
    </row>
    <row r="1987" spans="6:6">
      <c r="F1987" s="1"/>
    </row>
    <row r="1988" spans="6:6">
      <c r="F1988" s="1"/>
    </row>
    <row r="1989" spans="6:6">
      <c r="F1989" s="1"/>
    </row>
    <row r="1990" spans="6:6">
      <c r="F1990" s="1"/>
    </row>
    <row r="1991" spans="6:6">
      <c r="F1991" s="1"/>
    </row>
    <row r="1992" spans="6:6">
      <c r="F1992" s="1"/>
    </row>
    <row r="1993" spans="6:6">
      <c r="F1993" s="1"/>
    </row>
    <row r="1994" spans="6:6">
      <c r="F1994" s="1"/>
    </row>
    <row r="1995" spans="6:6">
      <c r="F1995" s="1"/>
    </row>
    <row r="1996" spans="6:6">
      <c r="F1996" s="1"/>
    </row>
    <row r="1997" spans="6:6">
      <c r="F1997" s="1"/>
    </row>
    <row r="1998" spans="6:6">
      <c r="F1998" s="1"/>
    </row>
    <row r="1999" spans="6:6">
      <c r="F1999" s="1"/>
    </row>
    <row r="2000" spans="6:6">
      <c r="F2000" s="1"/>
    </row>
    <row r="2001" spans="6:6">
      <c r="F2001" s="1"/>
    </row>
    <row r="2002" spans="6:6">
      <c r="F2002" s="1"/>
    </row>
    <row r="2003" spans="6:6">
      <c r="F2003" s="1"/>
    </row>
    <row r="2004" spans="6:6">
      <c r="F2004" s="1"/>
    </row>
    <row r="2005" spans="6:6">
      <c r="F2005" s="1"/>
    </row>
    <row r="2006" spans="6:6">
      <c r="F2006" s="1"/>
    </row>
    <row r="2007" spans="6:6">
      <c r="F2007" s="1"/>
    </row>
    <row r="2008" spans="6:6">
      <c r="F2008" s="1"/>
    </row>
    <row r="2009" spans="6:6">
      <c r="F2009" s="1"/>
    </row>
    <row r="2010" spans="6:6">
      <c r="F2010" s="1"/>
    </row>
    <row r="2011" spans="6:6">
      <c r="F2011" s="1"/>
    </row>
    <row r="2012" spans="6:6">
      <c r="F2012" s="1"/>
    </row>
    <row r="2013" spans="6:6">
      <c r="F2013" s="1"/>
    </row>
    <row r="2014" spans="6:6">
      <c r="F2014" s="1"/>
    </row>
    <row r="2015" spans="6:6">
      <c r="F2015" s="1"/>
    </row>
    <row r="2016" spans="6:6">
      <c r="F2016" s="1"/>
    </row>
    <row r="2017" spans="6:6">
      <c r="F2017" s="1"/>
    </row>
    <row r="2018" spans="6:6">
      <c r="F2018" s="1"/>
    </row>
    <row r="2019" spans="6:6">
      <c r="F2019" s="1"/>
    </row>
    <row r="2020" spans="6:6">
      <c r="F2020" s="1"/>
    </row>
    <row r="2021" spans="6:6">
      <c r="F2021" s="1"/>
    </row>
    <row r="2022" spans="6:6">
      <c r="F2022" s="1"/>
    </row>
    <row r="2023" spans="6:6">
      <c r="F2023" s="1"/>
    </row>
    <row r="2024" spans="6:6">
      <c r="F2024" s="1"/>
    </row>
    <row r="2025" spans="6:6">
      <c r="F2025" s="1"/>
    </row>
    <row r="2026" spans="6:6">
      <c r="F2026" s="1"/>
    </row>
    <row r="2027" spans="6:6">
      <c r="F2027" s="1"/>
    </row>
    <row r="2028" spans="6:6">
      <c r="F2028" s="1"/>
    </row>
    <row r="2029" spans="6:6">
      <c r="F2029" s="1"/>
    </row>
    <row r="2030" spans="6:6">
      <c r="F2030" s="1"/>
    </row>
    <row r="2031" spans="6:6">
      <c r="F2031" s="1"/>
    </row>
    <row r="2032" spans="6:6">
      <c r="F2032" s="1"/>
    </row>
    <row r="2033" spans="6:6">
      <c r="F2033" s="1"/>
    </row>
    <row r="2034" spans="6:6">
      <c r="F2034" s="1"/>
    </row>
    <row r="2035" spans="6:6">
      <c r="F2035" s="1"/>
    </row>
    <row r="2036" spans="6:6">
      <c r="F2036" s="1"/>
    </row>
    <row r="2037" spans="6:6">
      <c r="F2037" s="1"/>
    </row>
    <row r="2038" spans="6:6">
      <c r="F2038" s="1"/>
    </row>
    <row r="2039" spans="6:6">
      <c r="F2039" s="1"/>
    </row>
    <row r="2040" spans="6:6">
      <c r="F2040" s="1"/>
    </row>
    <row r="2041" spans="6:6">
      <c r="F2041" s="1"/>
    </row>
    <row r="2042" spans="6:6">
      <c r="F2042" s="1"/>
    </row>
    <row r="2043" spans="6:6">
      <c r="F2043" s="1"/>
    </row>
    <row r="2044" spans="6:6">
      <c r="F2044" s="1"/>
    </row>
    <row r="2045" spans="6:6">
      <c r="F2045" s="1"/>
    </row>
    <row r="2046" spans="6:6">
      <c r="F2046" s="1"/>
    </row>
    <row r="2047" spans="6:6">
      <c r="F2047" s="1"/>
    </row>
    <row r="2048" spans="6:6">
      <c r="F2048" s="1"/>
    </row>
    <row r="2049" spans="6:6">
      <c r="F2049" s="1"/>
    </row>
    <row r="2050" spans="6:6">
      <c r="F2050" s="1"/>
    </row>
    <row r="2051" spans="6:6">
      <c r="F2051" s="1"/>
    </row>
    <row r="2052" spans="6:6">
      <c r="F2052" s="1"/>
    </row>
    <row r="2053" spans="6:6">
      <c r="F2053" s="1"/>
    </row>
    <row r="2054" spans="6:6">
      <c r="F2054" s="1"/>
    </row>
    <row r="2055" spans="6:6">
      <c r="F2055" s="1"/>
    </row>
    <row r="2056" spans="6:6">
      <c r="F2056" s="1"/>
    </row>
    <row r="2057" spans="6:6">
      <c r="F2057" s="1"/>
    </row>
    <row r="2058" spans="6:6">
      <c r="F2058" s="1"/>
    </row>
    <row r="2059" spans="6:6">
      <c r="F2059" s="1"/>
    </row>
    <row r="2060" spans="6:6">
      <c r="F2060" s="1"/>
    </row>
    <row r="2061" spans="6:6">
      <c r="F2061" s="1"/>
    </row>
    <row r="2062" spans="6:6">
      <c r="F2062" s="1"/>
    </row>
    <row r="2063" spans="6:6">
      <c r="F2063" s="1"/>
    </row>
    <row r="2064" spans="6:6">
      <c r="F2064" s="1"/>
    </row>
    <row r="2065" spans="6:6">
      <c r="F2065" s="1"/>
    </row>
    <row r="2066" spans="6:6">
      <c r="F2066" s="1"/>
    </row>
    <row r="2067" spans="6:6">
      <c r="F2067" s="1"/>
    </row>
    <row r="2068" spans="6:6">
      <c r="F2068" s="1"/>
    </row>
    <row r="2069" spans="6:6">
      <c r="F2069" s="1"/>
    </row>
    <row r="2070" spans="6:6">
      <c r="F2070" s="1"/>
    </row>
    <row r="2071" spans="6:6">
      <c r="F2071" s="1"/>
    </row>
    <row r="2072" spans="6:6">
      <c r="F2072" s="1"/>
    </row>
    <row r="2073" spans="6:6">
      <c r="F2073" s="1"/>
    </row>
    <row r="2074" spans="6:6">
      <c r="F2074" s="1"/>
    </row>
    <row r="2075" spans="6:6">
      <c r="F2075" s="1"/>
    </row>
    <row r="2076" spans="6:6">
      <c r="F2076" s="1"/>
    </row>
    <row r="2077" spans="6:6">
      <c r="F2077" s="1"/>
    </row>
    <row r="2078" spans="6:6">
      <c r="F2078" s="1"/>
    </row>
    <row r="2079" spans="6:6">
      <c r="F2079" s="1"/>
    </row>
    <row r="2080" spans="6:6">
      <c r="F2080" s="1"/>
    </row>
    <row r="2081" spans="6:6">
      <c r="F2081" s="1"/>
    </row>
    <row r="2082" spans="6:6">
      <c r="F2082" s="1"/>
    </row>
    <row r="2083" spans="6:6">
      <c r="F2083" s="1"/>
    </row>
    <row r="2084" spans="6:6">
      <c r="F2084" s="1"/>
    </row>
    <row r="2085" spans="6:6">
      <c r="F2085" s="1"/>
    </row>
    <row r="2086" spans="6:6">
      <c r="F2086" s="1"/>
    </row>
    <row r="2087" spans="6:6">
      <c r="F2087" s="1"/>
    </row>
    <row r="2088" spans="6:6">
      <c r="F2088" s="1"/>
    </row>
    <row r="2089" spans="6:6">
      <c r="F2089" s="1"/>
    </row>
    <row r="2090" spans="6:6">
      <c r="F2090" s="1"/>
    </row>
    <row r="2091" spans="6:6">
      <c r="F2091" s="1"/>
    </row>
    <row r="2092" spans="6:6">
      <c r="F2092" s="1"/>
    </row>
    <row r="2093" spans="6:6">
      <c r="F2093" s="1"/>
    </row>
    <row r="2094" spans="6:6">
      <c r="F2094" s="1"/>
    </row>
    <row r="2095" spans="6:6">
      <c r="F2095" s="1"/>
    </row>
    <row r="2096" spans="6:6">
      <c r="F2096" s="1"/>
    </row>
    <row r="2097" spans="6:6">
      <c r="F2097" s="1"/>
    </row>
    <row r="2098" spans="6:6">
      <c r="F2098" s="1"/>
    </row>
    <row r="2099" spans="6:6">
      <c r="F2099" s="1"/>
    </row>
    <row r="2100" spans="6:6">
      <c r="F2100" s="1"/>
    </row>
    <row r="2101" spans="6:6">
      <c r="F2101" s="1"/>
    </row>
    <row r="2102" spans="6:6">
      <c r="F2102" s="1"/>
    </row>
    <row r="2103" spans="6:6">
      <c r="F2103" s="1"/>
    </row>
    <row r="2104" spans="6:6">
      <c r="F2104" s="1"/>
    </row>
    <row r="2105" spans="6:6">
      <c r="F2105" s="1"/>
    </row>
    <row r="2106" spans="6:6">
      <c r="F2106" s="1"/>
    </row>
    <row r="2107" spans="6:6">
      <c r="F2107" s="1"/>
    </row>
    <row r="2108" spans="6:6">
      <c r="F2108" s="1"/>
    </row>
    <row r="2109" spans="6:6">
      <c r="F2109" s="1"/>
    </row>
    <row r="2110" spans="6:6">
      <c r="F2110" s="1"/>
    </row>
    <row r="2111" spans="6:6">
      <c r="F2111" s="1"/>
    </row>
    <row r="2112" spans="6:6">
      <c r="F2112" s="1"/>
    </row>
    <row r="2113" spans="6:6">
      <c r="F2113" s="1"/>
    </row>
    <row r="2114" spans="6:6">
      <c r="F2114" s="1"/>
    </row>
    <row r="2115" spans="6:6">
      <c r="F2115" s="1"/>
    </row>
    <row r="2116" spans="6:6">
      <c r="F2116" s="1"/>
    </row>
    <row r="2117" spans="6:6">
      <c r="F2117" s="1"/>
    </row>
    <row r="2118" spans="6:6">
      <c r="F2118" s="1"/>
    </row>
    <row r="2119" spans="6:6">
      <c r="F2119" s="1"/>
    </row>
    <row r="2120" spans="6:6">
      <c r="F2120" s="1"/>
    </row>
    <row r="2121" spans="6:6">
      <c r="F2121" s="1"/>
    </row>
    <row r="2122" spans="6:6">
      <c r="F2122" s="1"/>
    </row>
    <row r="2123" spans="6:6">
      <c r="F2123" s="1"/>
    </row>
    <row r="2124" spans="6:6">
      <c r="F2124" s="1"/>
    </row>
    <row r="2125" spans="6:6">
      <c r="F2125" s="1"/>
    </row>
    <row r="2126" spans="6:6">
      <c r="F2126" s="1"/>
    </row>
    <row r="2127" spans="6:6">
      <c r="F2127" s="1"/>
    </row>
    <row r="2128" spans="6:6">
      <c r="F2128" s="1"/>
    </row>
    <row r="2129" spans="6:6">
      <c r="F2129" s="1"/>
    </row>
    <row r="2130" spans="6:6">
      <c r="F2130" s="1"/>
    </row>
    <row r="2131" spans="6:6">
      <c r="F2131" s="1"/>
    </row>
    <row r="2132" spans="6:6">
      <c r="F2132" s="1"/>
    </row>
    <row r="2133" spans="6:6">
      <c r="F2133" s="1"/>
    </row>
    <row r="2134" spans="6:6">
      <c r="F2134" s="1"/>
    </row>
    <row r="2135" spans="6:6">
      <c r="F2135" s="1"/>
    </row>
    <row r="2136" spans="6:6">
      <c r="F2136" s="1"/>
    </row>
    <row r="2137" spans="6:6">
      <c r="F2137" s="1"/>
    </row>
    <row r="2138" spans="6:6">
      <c r="F2138" s="1"/>
    </row>
    <row r="2139" spans="6:6">
      <c r="F2139" s="1"/>
    </row>
    <row r="2140" spans="6:6">
      <c r="F2140" s="1"/>
    </row>
    <row r="2141" spans="6:6">
      <c r="F2141" s="1"/>
    </row>
    <row r="2142" spans="6:6">
      <c r="F2142" s="1"/>
    </row>
    <row r="2143" spans="6:6">
      <c r="F2143" s="1"/>
    </row>
    <row r="2144" spans="6:6">
      <c r="F2144" s="1"/>
    </row>
    <row r="2145" spans="6:6">
      <c r="F2145" s="1"/>
    </row>
    <row r="2146" spans="6:6">
      <c r="F2146" s="1"/>
    </row>
    <row r="2147" spans="6:6">
      <c r="F2147" s="1"/>
    </row>
    <row r="2148" spans="6:6">
      <c r="F2148" s="1"/>
    </row>
    <row r="2149" spans="6:6">
      <c r="F2149" s="1"/>
    </row>
    <row r="2150" spans="6:6">
      <c r="F2150" s="1"/>
    </row>
    <row r="2151" spans="6:6">
      <c r="F2151" s="1"/>
    </row>
    <row r="2152" spans="6:6">
      <c r="F2152" s="1"/>
    </row>
    <row r="2153" spans="6:6">
      <c r="F2153" s="1"/>
    </row>
    <row r="2154" spans="6:6">
      <c r="F2154" s="1"/>
    </row>
    <row r="2155" spans="6:6">
      <c r="F2155" s="1"/>
    </row>
    <row r="2156" spans="6:6">
      <c r="F2156" s="1"/>
    </row>
    <row r="2157" spans="6:6">
      <c r="F2157" s="1"/>
    </row>
    <row r="2158" spans="6:6">
      <c r="F2158" s="1"/>
    </row>
    <row r="2159" spans="6:6">
      <c r="F2159" s="1"/>
    </row>
    <row r="2160" spans="6:6">
      <c r="F2160" s="1"/>
    </row>
    <row r="2161" spans="6:6">
      <c r="F2161" s="1"/>
    </row>
    <row r="2162" spans="6:6">
      <c r="F2162" s="1"/>
    </row>
    <row r="2163" spans="6:6">
      <c r="F2163" s="1"/>
    </row>
    <row r="2164" spans="6:6">
      <c r="F2164" s="1"/>
    </row>
    <row r="2165" spans="6:6">
      <c r="F2165" s="1"/>
    </row>
    <row r="2166" spans="6:6">
      <c r="F2166" s="1"/>
    </row>
    <row r="2167" spans="6:6">
      <c r="F2167" s="1"/>
    </row>
    <row r="2168" spans="6:6">
      <c r="F2168" s="1"/>
    </row>
    <row r="2169" spans="6:6">
      <c r="F2169" s="1"/>
    </row>
    <row r="2170" spans="6:6">
      <c r="F2170" s="1"/>
    </row>
    <row r="2171" spans="6:6">
      <c r="F2171" s="1"/>
    </row>
    <row r="2172" spans="6:6">
      <c r="F2172" s="1"/>
    </row>
    <row r="2173" spans="6:6">
      <c r="F2173" s="1"/>
    </row>
    <row r="2174" spans="6:6">
      <c r="F2174" s="1"/>
    </row>
    <row r="2175" spans="6:6">
      <c r="F2175" s="1"/>
    </row>
    <row r="2176" spans="6:6">
      <c r="F2176" s="1"/>
    </row>
    <row r="2177" spans="6:6">
      <c r="F2177" s="1"/>
    </row>
    <row r="2178" spans="6:6">
      <c r="F2178" s="1"/>
    </row>
    <row r="2179" spans="6:6">
      <c r="F2179" s="1"/>
    </row>
    <row r="2180" spans="6:6">
      <c r="F2180" s="1"/>
    </row>
    <row r="2181" spans="6:6">
      <c r="F2181" s="1"/>
    </row>
    <row r="2182" spans="6:6">
      <c r="F2182" s="1"/>
    </row>
    <row r="2183" spans="6:6">
      <c r="F2183" s="1"/>
    </row>
    <row r="2184" spans="6:6">
      <c r="F2184" s="1"/>
    </row>
    <row r="2185" spans="6:6">
      <c r="F2185" s="1"/>
    </row>
    <row r="2186" spans="6:6">
      <c r="F2186" s="1"/>
    </row>
    <row r="2187" spans="6:6">
      <c r="F2187" s="1"/>
    </row>
    <row r="2188" spans="6:6">
      <c r="F2188" s="1"/>
    </row>
    <row r="2189" spans="6:6">
      <c r="F2189" s="1"/>
    </row>
    <row r="2190" spans="6:6">
      <c r="F2190" s="1"/>
    </row>
    <row r="2191" spans="6:6">
      <c r="F2191" s="1"/>
    </row>
    <row r="2192" spans="6:6">
      <c r="F2192" s="1"/>
    </row>
    <row r="2193" spans="6:6">
      <c r="F2193" s="1"/>
    </row>
    <row r="2194" spans="6:6">
      <c r="F2194" s="1"/>
    </row>
    <row r="2195" spans="6:6">
      <c r="F2195" s="1"/>
    </row>
    <row r="2196" spans="6:6">
      <c r="F2196" s="1"/>
    </row>
    <row r="2197" spans="6:6">
      <c r="F2197" s="1"/>
    </row>
    <row r="2198" spans="6:6">
      <c r="F2198" s="1"/>
    </row>
    <row r="2199" spans="6:6">
      <c r="F2199" s="1"/>
    </row>
    <row r="2200" spans="6:6">
      <c r="F2200" s="1"/>
    </row>
    <row r="2201" spans="6:6">
      <c r="F2201" s="1"/>
    </row>
    <row r="2202" spans="6:6">
      <c r="F2202" s="1"/>
    </row>
    <row r="2203" spans="6:6">
      <c r="F2203" s="1"/>
    </row>
    <row r="2204" spans="6:6">
      <c r="F2204" s="1"/>
    </row>
    <row r="2205" spans="6:6">
      <c r="F2205" s="1"/>
    </row>
    <row r="2206" spans="6:6">
      <c r="F2206" s="1"/>
    </row>
    <row r="2207" spans="6:6">
      <c r="F2207" s="1"/>
    </row>
    <row r="2208" spans="6:6">
      <c r="F2208" s="1"/>
    </row>
    <row r="2209" spans="6:6">
      <c r="F2209" s="1"/>
    </row>
    <row r="2210" spans="6:6">
      <c r="F2210" s="1"/>
    </row>
    <row r="2211" spans="6:6">
      <c r="F2211" s="1"/>
    </row>
    <row r="2212" spans="6:6">
      <c r="F2212" s="1"/>
    </row>
    <row r="2213" spans="6:6">
      <c r="F2213" s="1"/>
    </row>
    <row r="2214" spans="6:6">
      <c r="F2214" s="1"/>
    </row>
    <row r="2215" spans="6:6">
      <c r="F2215" s="1"/>
    </row>
    <row r="2216" spans="6:6">
      <c r="F2216" s="1"/>
    </row>
    <row r="2217" spans="6:6">
      <c r="F2217" s="1"/>
    </row>
    <row r="2218" spans="6:6">
      <c r="F2218" s="1"/>
    </row>
    <row r="2219" spans="6:6">
      <c r="F2219" s="1"/>
    </row>
    <row r="2220" spans="6:6">
      <c r="F2220" s="1"/>
    </row>
    <row r="2221" spans="6:6">
      <c r="F2221" s="1"/>
    </row>
    <row r="2222" spans="6:6">
      <c r="F2222" s="1"/>
    </row>
    <row r="2223" spans="6:6">
      <c r="F2223" s="1"/>
    </row>
    <row r="2224" spans="6:6">
      <c r="F2224" s="1"/>
    </row>
    <row r="2225" spans="6:6">
      <c r="F2225" s="1"/>
    </row>
    <row r="2226" spans="6:6">
      <c r="F2226" s="1"/>
    </row>
    <row r="2227" spans="6:6">
      <c r="F2227" s="1"/>
    </row>
    <row r="2228" spans="6:6">
      <c r="F2228" s="1"/>
    </row>
    <row r="2229" spans="6:6">
      <c r="F2229" s="1"/>
    </row>
    <row r="2230" spans="6:6">
      <c r="F2230" s="1"/>
    </row>
    <row r="2231" spans="6:6">
      <c r="F2231" s="1"/>
    </row>
    <row r="2232" spans="6:6">
      <c r="F2232" s="1"/>
    </row>
    <row r="2233" spans="6:6">
      <c r="F2233" s="1"/>
    </row>
    <row r="2234" spans="6:6">
      <c r="F2234" s="1"/>
    </row>
    <row r="2235" spans="6:6">
      <c r="F2235" s="1"/>
    </row>
    <row r="2236" spans="6:6">
      <c r="F2236" s="1"/>
    </row>
    <row r="2237" spans="6:6">
      <c r="F2237" s="1"/>
    </row>
    <row r="2238" spans="6:6">
      <c r="F2238" s="1"/>
    </row>
    <row r="2239" spans="6:6">
      <c r="F2239" s="1"/>
    </row>
    <row r="2240" spans="6:6">
      <c r="F2240" s="1"/>
    </row>
    <row r="2241" spans="6:6">
      <c r="F2241" s="1"/>
    </row>
    <row r="2242" spans="6:6">
      <c r="F2242" s="1"/>
    </row>
    <row r="2243" spans="6:6">
      <c r="F2243" s="1"/>
    </row>
    <row r="2244" spans="6:6">
      <c r="F2244" s="1"/>
    </row>
    <row r="2245" spans="6:6">
      <c r="F2245" s="1"/>
    </row>
    <row r="2246" spans="6:6">
      <c r="F2246" s="1"/>
    </row>
    <row r="2247" spans="6:6">
      <c r="F2247" s="1"/>
    </row>
    <row r="2248" spans="6:6">
      <c r="F2248" s="1"/>
    </row>
    <row r="2249" spans="6:6">
      <c r="F2249" s="1"/>
    </row>
    <row r="2250" spans="6:6">
      <c r="F2250" s="1"/>
    </row>
    <row r="2251" spans="6:6">
      <c r="F2251" s="1"/>
    </row>
    <row r="2252" spans="6:6">
      <c r="F2252" s="1"/>
    </row>
    <row r="2253" spans="6:6">
      <c r="F2253" s="1"/>
    </row>
    <row r="2254" spans="6:6">
      <c r="F2254" s="1"/>
    </row>
    <row r="2255" spans="6:6">
      <c r="F2255" s="1"/>
    </row>
    <row r="2256" spans="6:6">
      <c r="F2256" s="1"/>
    </row>
    <row r="2257" spans="6:6">
      <c r="F2257" s="1"/>
    </row>
    <row r="2258" spans="6:6">
      <c r="F2258" s="1"/>
    </row>
    <row r="2259" spans="6:6">
      <c r="F2259" s="1"/>
    </row>
    <row r="2260" spans="6:6">
      <c r="F2260" s="1"/>
    </row>
    <row r="2261" spans="6:6">
      <c r="F2261" s="1"/>
    </row>
    <row r="2262" spans="6:6">
      <c r="F2262" s="1"/>
    </row>
    <row r="2263" spans="6:6">
      <c r="F2263" s="1"/>
    </row>
    <row r="2264" spans="6:6">
      <c r="F2264" s="1"/>
    </row>
    <row r="2265" spans="6:6">
      <c r="F2265" s="1"/>
    </row>
    <row r="2266" spans="6:6">
      <c r="F2266" s="1"/>
    </row>
    <row r="2267" spans="6:6">
      <c r="F2267" s="1"/>
    </row>
    <row r="2268" spans="6:6">
      <c r="F2268" s="1"/>
    </row>
    <row r="2269" spans="6:6">
      <c r="F2269" s="1"/>
    </row>
    <row r="2270" spans="6:6">
      <c r="F2270" s="1"/>
    </row>
    <row r="2271" spans="6:6">
      <c r="F2271" s="1"/>
    </row>
    <row r="2272" spans="6:6">
      <c r="F2272" s="1"/>
    </row>
    <row r="2273" spans="6:6">
      <c r="F2273" s="1"/>
    </row>
    <row r="2274" spans="6:6">
      <c r="F2274" s="1"/>
    </row>
    <row r="2275" spans="6:6">
      <c r="F2275" s="1"/>
    </row>
    <row r="2276" spans="6:6">
      <c r="F2276" s="1"/>
    </row>
    <row r="2277" spans="6:6">
      <c r="F2277" s="1"/>
    </row>
    <row r="2278" spans="6:6">
      <c r="F2278" s="1"/>
    </row>
    <row r="2279" spans="6:6">
      <c r="F2279" s="1"/>
    </row>
    <row r="2280" spans="6:6">
      <c r="F2280" s="1"/>
    </row>
    <row r="2281" spans="6:6">
      <c r="F2281" s="1"/>
    </row>
    <row r="2282" spans="6:6">
      <c r="F2282" s="1"/>
    </row>
    <row r="2283" spans="6:6">
      <c r="F2283" s="1"/>
    </row>
    <row r="2284" spans="6:6">
      <c r="F2284" s="1"/>
    </row>
    <row r="2285" spans="6:6">
      <c r="F2285" s="1"/>
    </row>
    <row r="2286" spans="6:6">
      <c r="F2286" s="1"/>
    </row>
    <row r="2287" spans="6:6">
      <c r="F2287" s="1"/>
    </row>
    <row r="2288" spans="6:6">
      <c r="F2288" s="1"/>
    </row>
    <row r="2289" spans="6:6">
      <c r="F2289" s="1"/>
    </row>
    <row r="2290" spans="6:6">
      <c r="F2290" s="1"/>
    </row>
    <row r="2291" spans="6:6">
      <c r="F2291" s="1"/>
    </row>
    <row r="2292" spans="6:6">
      <c r="F2292" s="1"/>
    </row>
    <row r="2293" spans="6:6">
      <c r="F2293" s="1"/>
    </row>
    <row r="2294" spans="6:6">
      <c r="F2294" s="1"/>
    </row>
    <row r="2295" spans="6:6">
      <c r="F2295" s="1"/>
    </row>
    <row r="2296" spans="6:6">
      <c r="F2296" s="1"/>
    </row>
    <row r="2297" spans="6:6">
      <c r="F2297" s="1"/>
    </row>
    <row r="2298" spans="6:6">
      <c r="F2298" s="1"/>
    </row>
    <row r="2299" spans="6:6">
      <c r="F2299" s="1"/>
    </row>
    <row r="2300" spans="6:6">
      <c r="F2300" s="1"/>
    </row>
    <row r="2301" spans="6:6">
      <c r="F2301" s="1"/>
    </row>
    <row r="2302" spans="6:6">
      <c r="F2302" s="1"/>
    </row>
    <row r="2303" spans="6:6">
      <c r="F2303" s="1"/>
    </row>
    <row r="2304" spans="6:6">
      <c r="F2304" s="1"/>
    </row>
    <row r="2305" spans="6:6">
      <c r="F2305" s="1"/>
    </row>
    <row r="2306" spans="6:6">
      <c r="F2306" s="1"/>
    </row>
    <row r="2307" spans="6:6">
      <c r="F2307" s="1"/>
    </row>
    <row r="2308" spans="6:6">
      <c r="F2308" s="1"/>
    </row>
    <row r="2309" spans="6:6">
      <c r="F2309" s="1"/>
    </row>
    <row r="2310" spans="6:6">
      <c r="F2310" s="1"/>
    </row>
    <row r="2311" spans="6:6">
      <c r="F2311" s="1"/>
    </row>
    <row r="2312" spans="6:6">
      <c r="F2312" s="1"/>
    </row>
    <row r="2313" spans="6:6">
      <c r="F2313" s="1"/>
    </row>
    <row r="2314" spans="6:6">
      <c r="F2314" s="1"/>
    </row>
    <row r="2315" spans="6:6">
      <c r="F2315" s="1"/>
    </row>
    <row r="2316" spans="6:6">
      <c r="F2316" s="1"/>
    </row>
    <row r="2317" spans="6:6">
      <c r="F2317" s="1"/>
    </row>
    <row r="2318" spans="6:6">
      <c r="F2318" s="1"/>
    </row>
    <row r="2319" spans="6:6">
      <c r="F2319" s="1"/>
    </row>
    <row r="2320" spans="6:6">
      <c r="F2320" s="1"/>
    </row>
    <row r="2321" spans="6:6">
      <c r="F2321" s="1"/>
    </row>
    <row r="2322" spans="6:6">
      <c r="F2322" s="1"/>
    </row>
    <row r="2323" spans="6:6">
      <c r="F2323" s="1"/>
    </row>
    <row r="2324" spans="6:6">
      <c r="F2324" s="1"/>
    </row>
    <row r="2325" spans="6:6">
      <c r="F2325" s="1"/>
    </row>
    <row r="2326" spans="6:6">
      <c r="F2326" s="1"/>
    </row>
    <row r="2327" spans="6:6">
      <c r="F2327" s="1"/>
    </row>
    <row r="2328" spans="6:6">
      <c r="F2328" s="1"/>
    </row>
    <row r="2329" spans="6:6">
      <c r="F2329" s="1"/>
    </row>
    <row r="2330" spans="6:6">
      <c r="F2330" s="1"/>
    </row>
    <row r="2331" spans="6:6">
      <c r="F2331" s="1"/>
    </row>
    <row r="2332" spans="6:6">
      <c r="F2332" s="1"/>
    </row>
    <row r="2333" spans="6:6">
      <c r="F2333" s="1"/>
    </row>
    <row r="2334" spans="6:6">
      <c r="F2334" s="1"/>
    </row>
    <row r="2335" spans="6:6">
      <c r="F2335" s="1"/>
    </row>
    <row r="2336" spans="6:6">
      <c r="F2336" s="1"/>
    </row>
    <row r="2337" spans="6:6">
      <c r="F2337" s="1"/>
    </row>
    <row r="2338" spans="6:6">
      <c r="F2338" s="1"/>
    </row>
    <row r="2339" spans="6:6">
      <c r="F2339" s="1"/>
    </row>
    <row r="2340" spans="6:6">
      <c r="F2340" s="1"/>
    </row>
    <row r="2341" spans="6:6">
      <c r="F2341" s="1"/>
    </row>
    <row r="2342" spans="6:6">
      <c r="F2342" s="1"/>
    </row>
    <row r="2343" spans="6:6">
      <c r="F2343" s="1"/>
    </row>
    <row r="2344" spans="6:6">
      <c r="F2344" s="1"/>
    </row>
    <row r="2345" spans="6:6">
      <c r="F2345" s="1"/>
    </row>
    <row r="2346" spans="6:6">
      <c r="F2346" s="1"/>
    </row>
    <row r="2347" spans="6:6">
      <c r="F2347" s="1"/>
    </row>
    <row r="2348" spans="6:6">
      <c r="F2348" s="1"/>
    </row>
    <row r="2349" spans="6:6">
      <c r="F2349" s="1"/>
    </row>
    <row r="2350" spans="6:6">
      <c r="F2350" s="1"/>
    </row>
    <row r="2351" spans="6:6">
      <c r="F2351" s="1"/>
    </row>
    <row r="2352" spans="6:6">
      <c r="F2352" s="1"/>
    </row>
    <row r="2353" spans="6:6">
      <c r="F2353" s="1"/>
    </row>
    <row r="2354" spans="6:6">
      <c r="F2354" s="1"/>
    </row>
    <row r="2355" spans="6:6">
      <c r="F2355" s="1"/>
    </row>
    <row r="2356" spans="6:6">
      <c r="F2356" s="1"/>
    </row>
    <row r="2357" spans="6:6">
      <c r="F2357" s="1"/>
    </row>
    <row r="2358" spans="6:6">
      <c r="F2358" s="1"/>
    </row>
    <row r="2359" spans="6:6">
      <c r="F2359" s="1"/>
    </row>
    <row r="2360" spans="6:6">
      <c r="F2360" s="1"/>
    </row>
    <row r="2361" spans="6:6">
      <c r="F2361" s="1"/>
    </row>
    <row r="2362" spans="6:6">
      <c r="F2362" s="1"/>
    </row>
    <row r="2363" spans="6:6">
      <c r="F2363" s="1"/>
    </row>
    <row r="2364" spans="6:6">
      <c r="F2364" s="1"/>
    </row>
    <row r="2365" spans="6:6">
      <c r="F2365" s="1"/>
    </row>
    <row r="2366" spans="6:6">
      <c r="F2366" s="1"/>
    </row>
    <row r="2367" spans="6:6">
      <c r="F2367" s="1"/>
    </row>
    <row r="2368" spans="6:6">
      <c r="F2368" s="1"/>
    </row>
    <row r="2369" spans="6:6">
      <c r="F2369" s="1"/>
    </row>
    <row r="2370" spans="6:6">
      <c r="F2370" s="1"/>
    </row>
    <row r="2371" spans="6:6">
      <c r="F2371" s="1"/>
    </row>
    <row r="2372" spans="6:6">
      <c r="F2372" s="1"/>
    </row>
    <row r="2373" spans="6:6">
      <c r="F2373" s="1"/>
    </row>
    <row r="2374" spans="6:6">
      <c r="F2374" s="1"/>
    </row>
    <row r="2375" spans="6:6">
      <c r="F2375" s="1"/>
    </row>
    <row r="2376" spans="6:6">
      <c r="F2376" s="1"/>
    </row>
    <row r="2377" spans="6:6">
      <c r="F2377" s="1"/>
    </row>
    <row r="2378" spans="6:6">
      <c r="F2378" s="1"/>
    </row>
    <row r="2379" spans="6:6">
      <c r="F2379" s="1"/>
    </row>
    <row r="2380" spans="6:6">
      <c r="F2380" s="1"/>
    </row>
    <row r="2381" spans="6:6">
      <c r="F2381" s="1"/>
    </row>
    <row r="2382" spans="6:6">
      <c r="F2382" s="1"/>
    </row>
    <row r="2383" spans="6:6">
      <c r="F2383" s="1"/>
    </row>
    <row r="2384" spans="6:6">
      <c r="F2384" s="1"/>
    </row>
    <row r="2385" spans="6:6">
      <c r="F2385" s="1"/>
    </row>
    <row r="2386" spans="6:6">
      <c r="F2386" s="1"/>
    </row>
    <row r="2387" spans="6:6">
      <c r="F2387" s="1"/>
    </row>
    <row r="2388" spans="6:6">
      <c r="F2388" s="1"/>
    </row>
    <row r="2389" spans="6:6">
      <c r="F2389" s="1"/>
    </row>
    <row r="2390" spans="6:6">
      <c r="F2390" s="1"/>
    </row>
    <row r="2391" spans="6:6">
      <c r="F2391" s="1"/>
    </row>
    <row r="2392" spans="6:6">
      <c r="F2392" s="1"/>
    </row>
    <row r="2393" spans="6:6">
      <c r="F2393" s="1"/>
    </row>
    <row r="2394" spans="6:6">
      <c r="F2394" s="1"/>
    </row>
    <row r="2395" spans="6:6">
      <c r="F2395" s="1"/>
    </row>
    <row r="2396" spans="6:6">
      <c r="F2396" s="1"/>
    </row>
    <row r="2397" spans="6:6">
      <c r="F2397" s="1"/>
    </row>
    <row r="2398" spans="6:6">
      <c r="F2398" s="1"/>
    </row>
    <row r="2399" spans="6:6">
      <c r="F2399" s="1"/>
    </row>
    <row r="2400" spans="6:6">
      <c r="F2400" s="1"/>
    </row>
    <row r="2401" spans="6:6">
      <c r="F2401" s="1"/>
    </row>
    <row r="2402" spans="6:6">
      <c r="F2402" s="1"/>
    </row>
    <row r="2403" spans="6:6">
      <c r="F2403" s="1"/>
    </row>
    <row r="2404" spans="6:6">
      <c r="F2404" s="1"/>
    </row>
    <row r="2405" spans="6:6">
      <c r="F2405" s="1"/>
    </row>
    <row r="2406" spans="6:6">
      <c r="F2406" s="1"/>
    </row>
    <row r="2407" spans="6:6">
      <c r="F2407" s="1"/>
    </row>
    <row r="2408" spans="6:6">
      <c r="F2408" s="1"/>
    </row>
    <row r="2409" spans="6:6">
      <c r="F2409" s="1"/>
    </row>
    <row r="2410" spans="6:6">
      <c r="F2410" s="1"/>
    </row>
    <row r="2411" spans="6:6">
      <c r="F2411" s="1"/>
    </row>
    <row r="2412" spans="6:6">
      <c r="F2412" s="1"/>
    </row>
    <row r="2413" spans="6:6">
      <c r="F2413" s="1"/>
    </row>
    <row r="2414" spans="6:6">
      <c r="F2414" s="1"/>
    </row>
    <row r="2415" spans="6:6">
      <c r="F2415" s="1"/>
    </row>
    <row r="2416" spans="6:6">
      <c r="F2416" s="1"/>
    </row>
    <row r="2417" spans="6:6">
      <c r="F2417" s="1"/>
    </row>
    <row r="2418" spans="6:6">
      <c r="F2418" s="1"/>
    </row>
    <row r="2419" spans="6:6">
      <c r="F2419" s="1"/>
    </row>
    <row r="2420" spans="6:6">
      <c r="F2420" s="1"/>
    </row>
    <row r="2421" spans="6:6">
      <c r="F2421" s="1"/>
    </row>
    <row r="2422" spans="6:6">
      <c r="F2422" s="1"/>
    </row>
    <row r="2423" spans="6:6">
      <c r="F2423" s="1"/>
    </row>
    <row r="2424" spans="6:6">
      <c r="F2424" s="1"/>
    </row>
    <row r="2425" spans="6:6">
      <c r="F2425" s="1"/>
    </row>
    <row r="2426" spans="6:6">
      <c r="F2426" s="1"/>
    </row>
    <row r="2427" spans="6:6">
      <c r="F2427" s="1"/>
    </row>
    <row r="2428" spans="6:6">
      <c r="F2428" s="1"/>
    </row>
    <row r="2429" spans="6:6">
      <c r="F2429" s="1"/>
    </row>
    <row r="2430" spans="6:6">
      <c r="F2430" s="1"/>
    </row>
    <row r="2431" spans="6:6">
      <c r="F2431" s="1"/>
    </row>
    <row r="2432" spans="6:6">
      <c r="F2432" s="1"/>
    </row>
    <row r="2433" spans="6:6">
      <c r="F2433" s="1"/>
    </row>
    <row r="2434" spans="6:6">
      <c r="F2434" s="1"/>
    </row>
    <row r="2435" spans="6:6">
      <c r="F2435" s="1"/>
    </row>
    <row r="2436" spans="6:6">
      <c r="F2436" s="1"/>
    </row>
    <row r="2437" spans="6:6">
      <c r="F2437" s="1"/>
    </row>
    <row r="2438" spans="6:6">
      <c r="F2438" s="1"/>
    </row>
    <row r="2439" spans="6:6">
      <c r="F2439" s="1"/>
    </row>
    <row r="2440" spans="6:6">
      <c r="F2440" s="1"/>
    </row>
    <row r="2441" spans="6:6">
      <c r="F2441" s="1"/>
    </row>
    <row r="2442" spans="6:6">
      <c r="F2442" s="1"/>
    </row>
    <row r="2443" spans="6:6">
      <c r="F2443" s="1"/>
    </row>
    <row r="2444" spans="6:6">
      <c r="F2444" s="1"/>
    </row>
    <row r="2445" spans="6:6">
      <c r="F2445" s="1"/>
    </row>
    <row r="2446" spans="6:6">
      <c r="F2446" s="1"/>
    </row>
    <row r="2447" spans="6:6">
      <c r="F2447" s="1"/>
    </row>
    <row r="2448" spans="6:6">
      <c r="F2448" s="1"/>
    </row>
    <row r="2449" spans="6:6">
      <c r="F2449" s="1"/>
    </row>
    <row r="2450" spans="6:6">
      <c r="F2450" s="1"/>
    </row>
    <row r="2451" spans="6:6">
      <c r="F2451" s="1"/>
    </row>
    <row r="2452" spans="6:6">
      <c r="F2452" s="1"/>
    </row>
    <row r="2453" spans="6:6">
      <c r="F2453" s="1"/>
    </row>
    <row r="2454" spans="6:6">
      <c r="F2454" s="1"/>
    </row>
    <row r="2455" spans="6:6">
      <c r="F2455" s="1"/>
    </row>
    <row r="2456" spans="6:6">
      <c r="F2456" s="1"/>
    </row>
    <row r="2457" spans="6:6">
      <c r="F2457" s="1"/>
    </row>
    <row r="2458" spans="6:6">
      <c r="F2458" s="1"/>
    </row>
    <row r="2459" spans="6:6">
      <c r="F2459" s="1"/>
    </row>
    <row r="2460" spans="6:6">
      <c r="F2460" s="1"/>
    </row>
    <row r="2461" spans="6:6">
      <c r="F2461" s="1"/>
    </row>
    <row r="2462" spans="6:6">
      <c r="F2462" s="1"/>
    </row>
    <row r="2463" spans="6:6">
      <c r="F2463" s="1"/>
    </row>
    <row r="2464" spans="6:6">
      <c r="F2464" s="1"/>
    </row>
    <row r="2465" spans="6:6">
      <c r="F2465" s="1"/>
    </row>
    <row r="2466" spans="6:6">
      <c r="F2466" s="1"/>
    </row>
    <row r="2467" spans="6:6">
      <c r="F2467" s="1"/>
    </row>
    <row r="2468" spans="6:6">
      <c r="F2468" s="1"/>
    </row>
    <row r="2469" spans="6:6">
      <c r="F2469" s="1"/>
    </row>
    <row r="2470" spans="6:6">
      <c r="F2470" s="1"/>
    </row>
    <row r="2471" spans="6:6">
      <c r="F2471" s="1"/>
    </row>
    <row r="2472" spans="6:6">
      <c r="F2472" s="1"/>
    </row>
    <row r="2473" spans="6:6">
      <c r="F2473" s="1"/>
    </row>
    <row r="2474" spans="6:6">
      <c r="F2474" s="1"/>
    </row>
    <row r="2475" spans="6:6">
      <c r="F2475" s="1"/>
    </row>
    <row r="2476" spans="6:6">
      <c r="F2476" s="1"/>
    </row>
    <row r="2477" spans="6:6">
      <c r="F2477" s="1"/>
    </row>
    <row r="2478" spans="6:6">
      <c r="F2478" s="1"/>
    </row>
    <row r="2479" spans="6:6">
      <c r="F2479" s="1"/>
    </row>
    <row r="2480" spans="6:6">
      <c r="F2480" s="1"/>
    </row>
    <row r="2481" spans="6:6">
      <c r="F2481" s="1"/>
    </row>
    <row r="2482" spans="6:6">
      <c r="F2482" s="1"/>
    </row>
    <row r="2483" spans="6:6">
      <c r="F2483" s="1"/>
    </row>
    <row r="2484" spans="6:6">
      <c r="F2484" s="1"/>
    </row>
    <row r="2485" spans="6:6">
      <c r="F2485" s="1"/>
    </row>
    <row r="2486" spans="6:6">
      <c r="F2486" s="1"/>
    </row>
    <row r="2487" spans="6:6">
      <c r="F2487" s="1"/>
    </row>
    <row r="2488" spans="6:6">
      <c r="F2488" s="1"/>
    </row>
    <row r="2489" spans="6:6">
      <c r="F2489" s="1"/>
    </row>
    <row r="2490" spans="6:6">
      <c r="F2490" s="1"/>
    </row>
    <row r="2491" spans="6:6">
      <c r="F2491" s="1"/>
    </row>
    <row r="2492" spans="6:6">
      <c r="F2492" s="1"/>
    </row>
    <row r="2493" spans="6:6">
      <c r="F2493" s="1"/>
    </row>
    <row r="2494" spans="6:6">
      <c r="F2494" s="1"/>
    </row>
    <row r="2495" spans="6:6">
      <c r="F2495" s="1"/>
    </row>
    <row r="2496" spans="6:6">
      <c r="F2496" s="1"/>
    </row>
    <row r="2497" spans="6:6">
      <c r="F2497" s="1"/>
    </row>
    <row r="2498" spans="6:6">
      <c r="F2498" s="1"/>
    </row>
    <row r="2499" spans="6:6">
      <c r="F2499" s="1"/>
    </row>
    <row r="2500" spans="6:6">
      <c r="F2500" s="1"/>
    </row>
    <row r="2501" spans="6:6">
      <c r="F2501" s="1"/>
    </row>
    <row r="2502" spans="6:6">
      <c r="F2502" s="1"/>
    </row>
    <row r="2503" spans="6:6">
      <c r="F2503" s="1"/>
    </row>
    <row r="2504" spans="6:6">
      <c r="F2504" s="1"/>
    </row>
    <row r="2505" spans="6:6">
      <c r="F2505" s="1"/>
    </row>
    <row r="2506" spans="6:6">
      <c r="F2506" s="1"/>
    </row>
    <row r="2507" spans="6:6">
      <c r="F2507" s="1"/>
    </row>
    <row r="2508" spans="6:6">
      <c r="F2508" s="1"/>
    </row>
    <row r="2509" spans="6:6">
      <c r="F2509" s="1"/>
    </row>
    <row r="2510" spans="6:6">
      <c r="F2510" s="1"/>
    </row>
    <row r="2511" spans="6:6">
      <c r="F2511" s="1"/>
    </row>
    <row r="2512" spans="6:6">
      <c r="F2512" s="1"/>
    </row>
    <row r="2513" spans="6:6">
      <c r="F2513" s="1"/>
    </row>
    <row r="2514" spans="6:6">
      <c r="F2514" s="1"/>
    </row>
    <row r="2515" spans="6:6">
      <c r="F2515" s="1"/>
    </row>
    <row r="2516" spans="6:6">
      <c r="F2516" s="1"/>
    </row>
    <row r="2517" spans="6:6">
      <c r="F2517" s="1"/>
    </row>
    <row r="2518" spans="6:6">
      <c r="F2518" s="1"/>
    </row>
    <row r="2519" spans="6:6">
      <c r="F2519" s="1"/>
    </row>
    <row r="2520" spans="6:6">
      <c r="F2520" s="1"/>
    </row>
    <row r="2521" spans="6:6">
      <c r="F2521" s="1"/>
    </row>
    <row r="2522" spans="6:6">
      <c r="F2522" s="1"/>
    </row>
    <row r="2523" spans="6:6">
      <c r="F2523" s="1"/>
    </row>
    <row r="2524" spans="6:6">
      <c r="F2524" s="1"/>
    </row>
    <row r="2525" spans="6:6">
      <c r="F2525" s="1"/>
    </row>
    <row r="2526" spans="6:6">
      <c r="F2526" s="1"/>
    </row>
    <row r="2527" spans="6:6">
      <c r="F2527" s="1"/>
    </row>
    <row r="2528" spans="6:6">
      <c r="F2528" s="1"/>
    </row>
    <row r="2529" spans="6:6">
      <c r="F2529" s="1"/>
    </row>
    <row r="2530" spans="6:6">
      <c r="F2530" s="1"/>
    </row>
    <row r="2531" spans="6:6">
      <c r="F2531" s="1"/>
    </row>
    <row r="2532" spans="6:6">
      <c r="F2532" s="1"/>
    </row>
    <row r="2533" spans="6:6">
      <c r="F2533" s="1"/>
    </row>
    <row r="2534" spans="6:6">
      <c r="F2534" s="1"/>
    </row>
    <row r="2535" spans="6:6">
      <c r="F2535" s="1"/>
    </row>
    <row r="2536" spans="6:6">
      <c r="F2536" s="1"/>
    </row>
    <row r="2537" spans="6:6">
      <c r="F2537" s="1"/>
    </row>
    <row r="2538" spans="6:6">
      <c r="F2538" s="1"/>
    </row>
    <row r="2539" spans="6:6">
      <c r="F2539" s="1"/>
    </row>
    <row r="2540" spans="6:6">
      <c r="F2540" s="1"/>
    </row>
    <row r="2541" spans="6:6">
      <c r="F2541" s="1"/>
    </row>
    <row r="2542" spans="6:6">
      <c r="F2542" s="1"/>
    </row>
    <row r="2543" spans="6:6">
      <c r="F2543" s="1"/>
    </row>
    <row r="2544" spans="6:6">
      <c r="F2544" s="1"/>
    </row>
    <row r="2545" spans="6:6">
      <c r="F2545" s="1"/>
    </row>
    <row r="2546" spans="6:6">
      <c r="F2546" s="1"/>
    </row>
    <row r="2547" spans="6:6">
      <c r="F2547" s="1"/>
    </row>
    <row r="2548" spans="6:6">
      <c r="F2548" s="1"/>
    </row>
    <row r="2549" spans="6:6">
      <c r="F2549" s="1"/>
    </row>
    <row r="2550" spans="6:6">
      <c r="F2550" s="1"/>
    </row>
    <row r="2551" spans="6:6">
      <c r="F2551" s="1"/>
    </row>
    <row r="2552" spans="6:6">
      <c r="F2552" s="1"/>
    </row>
    <row r="2553" spans="6:6">
      <c r="F2553" s="1"/>
    </row>
    <row r="2554" spans="6:6">
      <c r="F2554" s="1"/>
    </row>
    <row r="2555" spans="6:6">
      <c r="F2555" s="1"/>
    </row>
    <row r="2556" spans="6:6">
      <c r="F2556" s="1"/>
    </row>
    <row r="2557" spans="6:6">
      <c r="F2557" s="1"/>
    </row>
    <row r="2558" spans="6:6">
      <c r="F2558" s="1"/>
    </row>
    <row r="2559" spans="6:6">
      <c r="F2559" s="1"/>
    </row>
    <row r="2560" spans="6:6">
      <c r="F2560" s="1"/>
    </row>
    <row r="2561" spans="6:6">
      <c r="F2561" s="1"/>
    </row>
  </sheetData>
  <sheetProtection algorithmName="SHA-512" hashValue="/0fgHZAnaARENPXgGZ9JsGuv5mQYxwT27sD7XSJDvxjT8cWsbQl/5FHXKbh7b/IBJC+EMaSmPMcKRqg4HKOlNA==" saltValue="Qikm3wchBBfFEuKs+lT7sQ==" spinCount="100000" sheet="1" objects="1" scenarios="1"/>
  <mergeCells count="17">
    <mergeCell ref="A43:E43"/>
    <mergeCell ref="V14:W14"/>
    <mergeCell ref="V16:W16"/>
    <mergeCell ref="V15:W15"/>
    <mergeCell ref="L24:Q24"/>
    <mergeCell ref="N29:Q29"/>
    <mergeCell ref="G28:G30"/>
    <mergeCell ref="H23:J23"/>
    <mergeCell ref="I24:J24"/>
    <mergeCell ref="I25:J25"/>
    <mergeCell ref="A2:E2"/>
    <mergeCell ref="G2:J2"/>
    <mergeCell ref="L2:R2"/>
    <mergeCell ref="M3:N3"/>
    <mergeCell ref="Q3:R3"/>
    <mergeCell ref="L3:L4"/>
    <mergeCell ref="O3:P3"/>
  </mergeCells>
  <phoneticPr fontId="0" type="noConversion"/>
  <pageMargins left="0.25" right="0.25" top="0.75" bottom="0.75" header="0.3" footer="0.3"/>
  <pageSetup paperSize="9" scale="75" fitToWidth="0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 CNRS" ma:contentTypeID="0x010100A73E4C44D5A17B40875A38D6C5CA43200018FB86A425E8654B9813B28727A6C3F4" ma:contentTypeVersion="13" ma:contentTypeDescription="Crée un document avec des propriétés spécifiques" ma:contentTypeScope="" ma:versionID="33ade1511a2f53ab43fc563f46281dd2">
  <xsd:schema xmlns:xsd="http://www.w3.org/2001/XMLSchema" xmlns:xs="http://www.w3.org/2001/XMLSchema" xmlns:p="http://schemas.microsoft.com/office/2006/metadata/properties" xmlns:ns2="a028b7be-5914-45e8-a890-2f869b8bd8be" xmlns:ns3="722792f1-a873-4ef6-b43f-ce74b73b8bf0" xmlns:ns4="http://schemas.microsoft.com/sharepoint/v4" xmlns:ns5="3dbb8924-2f16-4ec5-a5dc-fc6cc8d3101e" targetNamespace="http://schemas.microsoft.com/office/2006/metadata/properties" ma:root="true" ma:fieldsID="1f20f0eda508d98836245840c30a521a" ns2:_="" ns3:_="" ns4:_="" ns5:_="">
    <xsd:import namespace="a028b7be-5914-45e8-a890-2f869b8bd8be"/>
    <xsd:import namespace="722792f1-a873-4ef6-b43f-ce74b73b8bf0"/>
    <xsd:import namespace="http://schemas.microsoft.com/sharepoint/v4"/>
    <xsd:import namespace="3dbb8924-2f16-4ec5-a5dc-fc6cc8d3101e"/>
    <xsd:element name="properties">
      <xsd:complexType>
        <xsd:sequence>
          <xsd:element name="documentManagement">
            <xsd:complexType>
              <xsd:all>
                <xsd:element ref="ns2:Sujet" minOccurs="0"/>
                <xsd:element ref="ns3:Type_x0020_doc" minOccurs="0"/>
                <xsd:element ref="ns3:Emetteur" minOccurs="0"/>
                <xsd:element ref="ns3:Etat" minOccurs="0"/>
                <xsd:element ref="ns3:Type_x0020_doc_x003a_Titre" minOccurs="0"/>
                <xsd:element ref="ns3:Emetteur_x003a_Titre" minOccurs="0"/>
                <xsd:element ref="ns3:Etat_x003a_Titre" minOccurs="0"/>
                <xsd:element ref="ns2:Sujet_x003a_Titre" minOccurs="0"/>
                <xsd:element ref="ns4:IconOverlay" minOccurs="0"/>
                <xsd:element ref="ns5:SharedWithUsers" minOccurs="0"/>
                <xsd:element ref="ns5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28b7be-5914-45e8-a890-2f869b8bd8be" elementFormDefault="qualified">
    <xsd:import namespace="http://schemas.microsoft.com/office/2006/documentManagement/types"/>
    <xsd:import namespace="http://schemas.microsoft.com/office/infopath/2007/PartnerControls"/>
    <xsd:element name="Sujet" ma:index="2" nillable="true" ma:displayName="Sujet." ma:list="{7952fd16-ac64-48eb-8492-97bd5276f2ed}" ma:internalName="Sujet" ma:readOnly="false" ma:showField="Title">
      <xsd:simpleType>
        <xsd:restriction base="dms:Lookup"/>
      </xsd:simpleType>
    </xsd:element>
    <xsd:element name="Sujet_x003a_Titre" ma:index="15" nillable="true" ma:displayName="Sujet" ma:list="{7952fd16-ac64-48eb-8492-97bd5276f2ed}" ma:internalName="Sujet_x003a_Titre" ma:readOnly="true" ma:showField="Title">
      <xsd:simpleType>
        <xsd:restriction base="dms:Lookup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2792f1-a873-4ef6-b43f-ce74b73b8bf0" elementFormDefault="qualified">
    <xsd:import namespace="http://schemas.microsoft.com/office/2006/documentManagement/types"/>
    <xsd:import namespace="http://schemas.microsoft.com/office/infopath/2007/PartnerControls"/>
    <xsd:element name="Type_x0020_doc" ma:index="3" nillable="true" ma:displayName="Type doc." ma:list="{28047877-8f16-415c-8469-27dde67f15fa}" ma:internalName="Type_x0020_doc" ma:readOnly="false" ma:showField="Title" ma:web="722792f1-a873-4ef6-b43f-ce74b73b8bf0">
      <xsd:simpleType>
        <xsd:restriction base="dms:Lookup"/>
      </xsd:simpleType>
    </xsd:element>
    <xsd:element name="Emetteur" ma:index="4" nillable="true" ma:displayName="Emetteur." ma:list="{f91e976a-a1c3-4157-ba64-95b20818827d}" ma:internalName="Emetteur" ma:readOnly="false" ma:showField="Title" ma:web="722792f1-a873-4ef6-b43f-ce74b73b8bf0">
      <xsd:simpleType>
        <xsd:restriction base="dms:Lookup"/>
      </xsd:simpleType>
    </xsd:element>
    <xsd:element name="Etat" ma:index="5" nillable="true" ma:displayName="Etat." ma:list="{5cb9e13b-5189-4bb9-8b56-ea62ddfd2900}" ma:internalName="Etat" ma:readOnly="false" ma:showField="Title" ma:web="722792f1-a873-4ef6-b43f-ce74b73b8bf0">
      <xsd:simpleType>
        <xsd:restriction base="dms:Lookup"/>
      </xsd:simpleType>
    </xsd:element>
    <xsd:element name="Type_x0020_doc_x003a_Titre" ma:index="9" nillable="true" ma:displayName="Type doc" ma:list="{28047877-8f16-415c-8469-27dde67f15fa}" ma:internalName="Type_x0020_doc_x003A_Titre" ma:readOnly="true" ma:showField="Title" ma:web="722792f1-a873-4ef6-b43f-ce74b73b8bf0">
      <xsd:simpleType>
        <xsd:restriction base="dms:Lookup"/>
      </xsd:simpleType>
    </xsd:element>
    <xsd:element name="Emetteur_x003a_Titre" ma:index="11" nillable="true" ma:displayName="Emetteur" ma:list="{f91e976a-a1c3-4157-ba64-95b20818827d}" ma:internalName="Emetteur_x003A_Titre" ma:readOnly="true" ma:showField="Title" ma:web="722792f1-a873-4ef6-b43f-ce74b73b8bf0">
      <xsd:simpleType>
        <xsd:restriction base="dms:Lookup"/>
      </xsd:simpleType>
    </xsd:element>
    <xsd:element name="Etat_x003a_Titre" ma:index="13" nillable="true" ma:displayName="Etat" ma:list="{5cb9e13b-5189-4bb9-8b56-ea62ddfd2900}" ma:internalName="Etat_x003A_Titre" ma:readOnly="true" ma:showField="Title" ma:web="722792f1-a873-4ef6-b43f-ce74b73b8bf0">
      <xsd:simpleType>
        <xsd:restriction base="dms:Lookup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6" nillable="true" ma:displayName="IconOverlay" ma:hidden="true" ma:internalName="IconOverlay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bb8924-2f16-4ec5-a5dc-fc6cc8d3101e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4" ma:displayName="Type de contenu"/>
        <xsd:element ref="dc:title" minOccurs="0" maxOccurs="1" ma:index="1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tat xmlns="722792f1-a873-4ef6-b43f-ce74b73b8bf0">2</Etat>
    <Type_x0020_doc xmlns="722792f1-a873-4ef6-b43f-ce74b73b8bf0">16</Type_x0020_doc>
    <IconOverlay xmlns="http://schemas.microsoft.com/sharepoint/v4" xsi:nil="true"/>
    <Sujet xmlns="a028b7be-5914-45e8-a890-2f869b8bd8be">9</Sujet>
    <Emetteur xmlns="722792f1-a873-4ef6-b43f-ce74b73b8bf0">12</Emetteur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2E62808-1478-49DB-8B57-626A8BADEBF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028b7be-5914-45e8-a890-2f869b8bd8be"/>
    <ds:schemaRef ds:uri="722792f1-a873-4ef6-b43f-ce74b73b8bf0"/>
    <ds:schemaRef ds:uri="http://schemas.microsoft.com/sharepoint/v4"/>
    <ds:schemaRef ds:uri="3dbb8924-2f16-4ec5-a5dc-fc6cc8d3101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D799935-41FD-4B79-AA9C-E54C013393E2}">
  <ds:schemaRefs>
    <ds:schemaRef ds:uri="http://purl.org/dc/elements/1.1/"/>
    <ds:schemaRef ds:uri="http://www.w3.org/XML/1998/namespace"/>
    <ds:schemaRef ds:uri="http://purl.org/dc/dcmitype/"/>
    <ds:schemaRef ds:uri="722792f1-a873-4ef6-b43f-ce74b73b8bf0"/>
    <ds:schemaRef ds:uri="3dbb8924-2f16-4ec5-a5dc-fc6cc8d3101e"/>
    <ds:schemaRef ds:uri="http://schemas.microsoft.com/office/2006/documentManagement/types"/>
    <ds:schemaRef ds:uri="http://schemas.microsoft.com/sharepoint/v4"/>
    <ds:schemaRef ds:uri="a028b7be-5914-45e8-a890-2f869b8bd8b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A6D5A865-DEB8-4F61-9074-2608BDAEBD6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70</vt:i4>
      </vt:variant>
    </vt:vector>
  </HeadingPairs>
  <TitlesOfParts>
    <vt:vector size="75" baseType="lpstr">
      <vt:lpstr>Simuler le coût d'un CDD</vt:lpstr>
      <vt:lpstr>Simulation coût i2d CDD</vt:lpstr>
      <vt:lpstr>Simuler le coût d'une Vacation</vt:lpstr>
      <vt:lpstr>AIDE UTILISATEUR</vt:lpstr>
      <vt:lpstr>Données générales</vt:lpstr>
      <vt:lpstr>Abondement</vt:lpstr>
      <vt:lpstr>Acompte</vt:lpstr>
      <vt:lpstr>'Simulation coût i2d CDD'!ASSIETTETAXESAL</vt:lpstr>
      <vt:lpstr>ASSIETTETAXESAL</vt:lpstr>
      <vt:lpstr>ASSIETTETAXESAL2</vt:lpstr>
      <vt:lpstr>Augment_previs</vt:lpstr>
      <vt:lpstr>'Simulation coût i2d CDD'!Basebrute</vt:lpstr>
      <vt:lpstr>Basebrute</vt:lpstr>
      <vt:lpstr>CarteTransport</vt:lpstr>
      <vt:lpstr>cotisations</vt:lpstr>
      <vt:lpstr>'Simulation coût i2d CDD'!CRDSnd</vt:lpstr>
      <vt:lpstr>CRDSnd</vt:lpstr>
      <vt:lpstr>'Simulation coût i2d CDD'!CSGnd</vt:lpstr>
      <vt:lpstr>CSGnd</vt:lpstr>
      <vt:lpstr>Date_ref</vt:lpstr>
      <vt:lpstr>Departement</vt:lpstr>
      <vt:lpstr>Deptab</vt:lpstr>
      <vt:lpstr>Deptableau</vt:lpstr>
      <vt:lpstr>Domicilefiscal</vt:lpstr>
      <vt:lpstr>'Simulation coût i2d CDD'!Duree</vt:lpstr>
      <vt:lpstr>Duree</vt:lpstr>
      <vt:lpstr>'Simulation coût i2d CDD'!Echelon</vt:lpstr>
      <vt:lpstr>Echelon</vt:lpstr>
      <vt:lpstr>Gradech</vt:lpstr>
      <vt:lpstr>graderef</vt:lpstr>
      <vt:lpstr>Heures</vt:lpstr>
      <vt:lpstr>I2D</vt:lpstr>
      <vt:lpstr>Indem_F_S</vt:lpstr>
      <vt:lpstr>Indemnité__F_S_proratisée</vt:lpstr>
      <vt:lpstr>Indemnité_de_départ</vt:lpstr>
      <vt:lpstr>Indemresidence</vt:lpstr>
      <vt:lpstr>'Simulation coût i2d CDD'!Indice</vt:lpstr>
      <vt:lpstr>Indice</vt:lpstr>
      <vt:lpstr>Liste_enfants</vt:lpstr>
      <vt:lpstr>'Simulation coût i2d CDD'!Mensuel_hors_PPE</vt:lpstr>
      <vt:lpstr>Mensuel_hors_PPE</vt:lpstr>
      <vt:lpstr>'Simulation coût i2d CDD'!Montant_abond</vt:lpstr>
      <vt:lpstr>Montant_abond</vt:lpstr>
      <vt:lpstr>NIVEAU</vt:lpstr>
      <vt:lpstr>niveau_recrutement</vt:lpstr>
      <vt:lpstr>Niveau_vacation</vt:lpstr>
      <vt:lpstr>'Simulation coût i2d CDD'!Num_dept</vt:lpstr>
      <vt:lpstr>Num_dept</vt:lpstr>
      <vt:lpstr>Plafondsolidarite</vt:lpstr>
      <vt:lpstr>PlafondSS</vt:lpstr>
      <vt:lpstr>PlancherIR</vt:lpstr>
      <vt:lpstr>'Simulation coût i2d CDD'!PPE</vt:lpstr>
      <vt:lpstr>Quotite</vt:lpstr>
      <vt:lpstr>Res.administrative</vt:lpstr>
      <vt:lpstr>SFT</vt:lpstr>
      <vt:lpstr>SMIC</vt:lpstr>
      <vt:lpstr>TablTransport</vt:lpstr>
      <vt:lpstr>test3</vt:lpstr>
      <vt:lpstr>'Simulation coût i2d CDD'!TotalPP</vt:lpstr>
      <vt:lpstr>TotalPP</vt:lpstr>
      <vt:lpstr>'Simulation coût i2d CDD'!TotalPS</vt:lpstr>
      <vt:lpstr>TotalPS</vt:lpstr>
      <vt:lpstr>TSassujettissement</vt:lpstr>
      <vt:lpstr>TSmensuel1</vt:lpstr>
      <vt:lpstr>TSmensuel2</vt:lpstr>
      <vt:lpstr>TStaux1</vt:lpstr>
      <vt:lpstr>TStaux2</vt:lpstr>
      <vt:lpstr>TStaux3</vt:lpstr>
      <vt:lpstr>TStaux4</vt:lpstr>
      <vt:lpstr>Vacations</vt:lpstr>
      <vt:lpstr>Valeurindice</vt:lpstr>
      <vt:lpstr>'AIDE UTILISATEUR'!Zone_d_impression</vt:lpstr>
      <vt:lpstr>'Simulation coût i2d CDD'!Zone_d_impression</vt:lpstr>
      <vt:lpstr>'Simuler le coût d''un CDD'!Zone_d_impression</vt:lpstr>
      <vt:lpstr>'Simuler le coût d''une Vacation'!Zone_d_impression</vt:lpstr>
    </vt:vector>
  </TitlesOfParts>
  <Company>CNRS - DELEGATION ALSACE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LE GRAND Olivier</dc:creator>
  <cp:lastModifiedBy>vamoi</cp:lastModifiedBy>
  <cp:lastPrinted>2020-12-02T13:44:32Z</cp:lastPrinted>
  <dcterms:created xsi:type="dcterms:W3CDTF">2005-11-30T10:37:04Z</dcterms:created>
  <dcterms:modified xsi:type="dcterms:W3CDTF">2026-02-20T10:53:05Z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0x010100A73E4C44D5A17B40875A38D6C5CA43200018FB86A425E8654B9813B28727A6C3F4</vt:lpwstr>
  </property>
</Properties>
</file>